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ain" sheetId="1" r:id="rId1"/>
    <sheet name="CLUB MEMBERS RESULTS" sheetId="2" r:id="rId2"/>
  </sheets>
  <definedNames>
    <definedName name="_xlnm.Print_Area" localSheetId="0">'Main'!$B$1:$AJ$30</definedName>
    <definedName name="_xlnm._FilterDatabase" localSheetId="0" hidden="1">'Main'!$B$6:$AG$29</definedName>
    <definedName name="_xlnm._FilterDatabase">'Main'!$B$6:$AG$29</definedName>
    <definedName name="_xlnm.Print_Area">'Main'!$B$1:$AJ$30</definedName>
    <definedName name="_xlnm._FilterDatabase_1">'Main'!$B$6:$AG$29</definedName>
  </definedNames>
  <calcPr fullCalcOnLoad="1"/>
</workbook>
</file>

<file path=xl/sharedStrings.xml><?xml version="1.0" encoding="utf-8"?>
<sst xmlns="http://schemas.openxmlformats.org/spreadsheetml/2006/main" count="221" uniqueCount="80">
  <si>
    <t>Midland Motor Club</t>
  </si>
  <si>
    <t>Autotest</t>
  </si>
  <si>
    <t>Overall</t>
  </si>
  <si>
    <t>Class</t>
  </si>
  <si>
    <t>13th January 2013</t>
  </si>
  <si>
    <t>a</t>
  </si>
  <si>
    <t>Run 1</t>
  </si>
  <si>
    <t>Run 2</t>
  </si>
  <si>
    <t>Run 3</t>
  </si>
  <si>
    <t>overall</t>
  </si>
  <si>
    <t>No</t>
  </si>
  <si>
    <t>Name</t>
  </si>
  <si>
    <t>Test</t>
  </si>
  <si>
    <t>Sub</t>
  </si>
  <si>
    <t>Total</t>
  </si>
  <si>
    <t>Place</t>
  </si>
  <si>
    <t>Steven Ferguson</t>
  </si>
  <si>
    <t>Expert</t>
  </si>
  <si>
    <t>B</t>
  </si>
  <si>
    <t>1ST OVERALL</t>
  </si>
  <si>
    <t>Eddie Peterson</t>
  </si>
  <si>
    <t>1ST B</t>
  </si>
  <si>
    <t>Eamonn Byrne</t>
  </si>
  <si>
    <t>A</t>
  </si>
  <si>
    <t>1ST A</t>
  </si>
  <si>
    <t>Sam Johnston</t>
  </si>
  <si>
    <t>2ND B</t>
  </si>
  <si>
    <t>Glen Irwin</t>
  </si>
  <si>
    <t>2ND A</t>
  </si>
  <si>
    <t>Mark King</t>
  </si>
  <si>
    <t>D</t>
  </si>
  <si>
    <t>1ST D</t>
  </si>
  <si>
    <t>Patrick Power</t>
  </si>
  <si>
    <t>3RD B</t>
  </si>
  <si>
    <t>Chris Grimes</t>
  </si>
  <si>
    <t>3RD A</t>
  </si>
  <si>
    <t>David Thompson</t>
  </si>
  <si>
    <t>2ND D</t>
  </si>
  <si>
    <t>Simon Echlin</t>
  </si>
  <si>
    <t>C</t>
  </si>
  <si>
    <t>1ST C</t>
  </si>
  <si>
    <t>Daniel Byrne</t>
  </si>
  <si>
    <t>Paul Phelan</t>
  </si>
  <si>
    <t>Alan Coyle</t>
  </si>
  <si>
    <t>P</t>
  </si>
  <si>
    <t>Peter Falvey</t>
  </si>
  <si>
    <t>Novice</t>
  </si>
  <si>
    <t>PL</t>
  </si>
  <si>
    <t>3RD D</t>
  </si>
  <si>
    <t>Guy Foster</t>
  </si>
  <si>
    <t>L</t>
  </si>
  <si>
    <t>F</t>
  </si>
  <si>
    <t>Timmy Lynch</t>
  </si>
  <si>
    <t>Semi-expert</t>
  </si>
  <si>
    <t>2ND C</t>
  </si>
  <si>
    <t>Darren Quille</t>
  </si>
  <si>
    <t>3RD C</t>
  </si>
  <si>
    <t>Jonni McDaid</t>
  </si>
  <si>
    <t>Gerry Lynch</t>
  </si>
  <si>
    <t>Tommi McDaid</t>
  </si>
  <si>
    <t>Tom Devaney</t>
  </si>
  <si>
    <t>Owen Murray</t>
  </si>
  <si>
    <t>LP</t>
  </si>
  <si>
    <t>Robin Lyons</t>
  </si>
  <si>
    <t>DNS</t>
  </si>
  <si>
    <t>Shane Dalton</t>
  </si>
  <si>
    <t>E</t>
  </si>
  <si>
    <t>PPL</t>
  </si>
  <si>
    <t>Andrew Stewart</t>
  </si>
  <si>
    <t>Colin Duffy</t>
  </si>
  <si>
    <t>1ST</t>
  </si>
  <si>
    <t>Nigel McCloughrey</t>
  </si>
  <si>
    <t>3rd</t>
  </si>
  <si>
    <t>Sean Mullervy</t>
  </si>
  <si>
    <t>LL</t>
  </si>
  <si>
    <t>Sean Brady</t>
  </si>
  <si>
    <t>Enda McLoughlin</t>
  </si>
  <si>
    <t>3RD</t>
  </si>
  <si>
    <t>Michael Reilly</t>
  </si>
  <si>
    <t>2ND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</si>
</sst>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"/>
    <numFmt numFmtId="167" formatCode="0.00"/>
    <numFmt numFmtId="16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Webdings"/>
      <family val="1"/>
    </font>
    <font>
      <b/>
      <u val="single"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9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Border="1">
      <alignment/>
      <protection/>
    </xf>
    <xf numFmtId="164" fontId="1" fillId="0" borderId="0" xfId="20" applyFont="1" applyAlignment="1">
      <alignment horizontal="center"/>
      <protection/>
    </xf>
    <xf numFmtId="166" fontId="2" fillId="0" borderId="0" xfId="20" applyNumberFormat="1" applyFont="1">
      <alignment/>
      <protection/>
    </xf>
    <xf numFmtId="164" fontId="1" fillId="0" borderId="0" xfId="20" applyFont="1">
      <alignment/>
      <protection/>
    </xf>
    <xf numFmtId="166" fontId="2" fillId="2" borderId="0" xfId="20" applyNumberFormat="1" applyFont="1" applyFill="1">
      <alignment/>
      <protection/>
    </xf>
    <xf numFmtId="167" fontId="2" fillId="2" borderId="0" xfId="20" applyNumberFormat="1" applyFont="1" applyFill="1">
      <alignment/>
      <protection/>
    </xf>
    <xf numFmtId="164" fontId="3" fillId="0" borderId="0" xfId="20" applyFont="1" applyFill="1" applyAlignment="1">
      <alignment horizontal="center"/>
      <protection/>
    </xf>
    <xf numFmtId="164" fontId="0" fillId="0" borderId="0" xfId="20" applyFill="1">
      <alignment/>
      <protection/>
    </xf>
    <xf numFmtId="164" fontId="3" fillId="0" borderId="0" xfId="20" applyFont="1">
      <alignment/>
      <protection/>
    </xf>
    <xf numFmtId="164" fontId="3" fillId="0" borderId="0" xfId="20" applyFont="1" applyBorder="1">
      <alignment/>
      <protection/>
    </xf>
    <xf numFmtId="166" fontId="1" fillId="0" borderId="0" xfId="20" applyNumberFormat="1" applyFont="1">
      <alignment/>
      <protection/>
    </xf>
    <xf numFmtId="166" fontId="1" fillId="2" borderId="0" xfId="20" applyNumberFormat="1" applyFont="1" applyFill="1">
      <alignment/>
      <protection/>
    </xf>
    <xf numFmtId="167" fontId="1" fillId="2" borderId="0" xfId="20" applyNumberFormat="1" applyFont="1" applyFill="1">
      <alignment/>
      <protection/>
    </xf>
    <xf numFmtId="166" fontId="4" fillId="0" borderId="0" xfId="20" applyNumberFormat="1" applyFont="1" applyAlignment="1">
      <alignment horizontal="center"/>
      <protection/>
    </xf>
    <xf numFmtId="164" fontId="0" fillId="0" borderId="0" xfId="20" applyBorder="1" applyAlignment="1">
      <alignment/>
      <protection/>
    </xf>
    <xf numFmtId="166" fontId="5" fillId="0" borderId="0" xfId="20" applyNumberFormat="1" applyFont="1" applyAlignment="1">
      <alignment horizontal="center"/>
      <protection/>
    </xf>
    <xf numFmtId="166" fontId="2" fillId="2" borderId="0" xfId="20" applyNumberFormat="1" applyFont="1" applyFill="1" applyAlignment="1">
      <alignment/>
      <protection/>
    </xf>
    <xf numFmtId="166" fontId="1" fillId="0" borderId="0" xfId="20" applyNumberFormat="1" applyFont="1" applyAlignment="1">
      <alignment horizontal="center"/>
      <protection/>
    </xf>
    <xf numFmtId="166" fontId="1" fillId="2" borderId="0" xfId="20" applyNumberFormat="1" applyFont="1" applyFill="1" applyAlignment="1">
      <alignment horizontal="center"/>
      <protection/>
    </xf>
    <xf numFmtId="167" fontId="1" fillId="2" borderId="0" xfId="20" applyNumberFormat="1" applyFont="1" applyFill="1" applyAlignment="1">
      <alignment horizontal="center"/>
      <protection/>
    </xf>
    <xf numFmtId="166" fontId="3" fillId="0" borderId="0" xfId="20" applyNumberFormat="1" applyFont="1" applyFill="1" applyAlignment="1">
      <alignment horizontal="center"/>
      <protection/>
    </xf>
    <xf numFmtId="168" fontId="0" fillId="0" borderId="0" xfId="20" applyNumberFormat="1" applyAlignment="1">
      <alignment horizontal="center"/>
      <protection/>
    </xf>
    <xf numFmtId="168" fontId="3" fillId="0" borderId="0" xfId="20" applyNumberFormat="1" applyFont="1" applyAlignment="1">
      <alignment horizontal="center"/>
      <protection/>
    </xf>
    <xf numFmtId="168" fontId="3" fillId="0" borderId="0" xfId="20" applyNumberFormat="1" applyFont="1" applyBorder="1" applyAlignment="1">
      <alignment horizontal="center"/>
      <protection/>
    </xf>
    <xf numFmtId="168" fontId="1" fillId="0" borderId="0" xfId="20" applyNumberFormat="1" applyFont="1" applyAlignment="1">
      <alignment horizontal="center"/>
      <protection/>
    </xf>
    <xf numFmtId="168" fontId="1" fillId="2" borderId="0" xfId="20" applyNumberFormat="1" applyFont="1" applyFill="1" applyAlignment="1">
      <alignment horizontal="center"/>
      <protection/>
    </xf>
    <xf numFmtId="168" fontId="3" fillId="0" borderId="0" xfId="20" applyNumberFormat="1" applyFont="1" applyFill="1" applyAlignment="1">
      <alignment horizontal="center"/>
      <protection/>
    </xf>
    <xf numFmtId="168" fontId="0" fillId="0" borderId="0" xfId="20" applyNumberFormat="1" applyFill="1" applyAlignment="1">
      <alignment horizontal="center"/>
      <protection/>
    </xf>
    <xf numFmtId="164" fontId="0" fillId="0" borderId="0" xfId="20" applyFont="1">
      <alignment/>
      <protection/>
    </xf>
    <xf numFmtId="164" fontId="0" fillId="0" borderId="0" xfId="20" applyFont="1" applyFill="1" applyBorder="1" applyAlignment="1">
      <alignment horizontal="left"/>
      <protection/>
    </xf>
    <xf numFmtId="164" fontId="0" fillId="0" borderId="0" xfId="20" applyNumberFormat="1" applyFont="1" applyFill="1" applyBorder="1" applyAlignment="1" applyProtection="1">
      <alignment horizontal="left"/>
      <protection locked="0"/>
    </xf>
    <xf numFmtId="164" fontId="0" fillId="0" borderId="0" xfId="20" applyFont="1" applyFill="1" applyAlignment="1">
      <alignment horizontal="center"/>
      <protection/>
    </xf>
    <xf numFmtId="167" fontId="3" fillId="0" borderId="0" xfId="20" applyNumberFormat="1" applyFont="1" applyFill="1">
      <alignment/>
      <protection/>
    </xf>
    <xf numFmtId="167" fontId="0" fillId="0" borderId="0" xfId="20" applyNumberFormat="1" applyFont="1" applyFill="1">
      <alignment/>
      <protection/>
    </xf>
    <xf numFmtId="167" fontId="3" fillId="2" borderId="0" xfId="20" applyNumberFormat="1" applyFont="1" applyFill="1">
      <alignment/>
      <protection/>
    </xf>
    <xf numFmtId="166" fontId="0" fillId="0" borderId="0" xfId="20" applyNumberFormat="1" applyFont="1" applyFill="1">
      <alignment/>
      <protection/>
    </xf>
    <xf numFmtId="164" fontId="0" fillId="0" borderId="0" xfId="20" applyFont="1" applyFill="1">
      <alignment/>
      <protection/>
    </xf>
    <xf numFmtId="164" fontId="6" fillId="0" borderId="0" xfId="20" applyFont="1" applyFill="1">
      <alignment/>
      <protection/>
    </xf>
    <xf numFmtId="164" fontId="6" fillId="0" borderId="0" xfId="20" applyFont="1">
      <alignment/>
      <protection/>
    </xf>
    <xf numFmtId="164" fontId="0" fillId="0" borderId="0" xfId="20" applyAlignment="1">
      <alignment horizontal="left"/>
      <protection/>
    </xf>
    <xf numFmtId="164" fontId="0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 applyFill="1" applyAlignment="1">
      <alignment horizontal="center"/>
      <protection/>
    </xf>
    <xf numFmtId="167" fontId="1" fillId="0" borderId="0" xfId="20" applyNumberFormat="1" applyFont="1" applyFill="1">
      <alignment/>
      <protection/>
    </xf>
    <xf numFmtId="167" fontId="2" fillId="0" borderId="0" xfId="20" applyNumberFormat="1" applyFont="1" applyFill="1">
      <alignment/>
      <protection/>
    </xf>
    <xf numFmtId="166" fontId="2" fillId="0" borderId="0" xfId="20" applyNumberFormat="1" applyFont="1" applyFill="1">
      <alignment/>
      <protection/>
    </xf>
    <xf numFmtId="164" fontId="0" fillId="0" borderId="0" xfId="20" applyFont="1" applyFill="1" applyAlignment="1">
      <alignment horizontal="left"/>
      <protection/>
    </xf>
    <xf numFmtId="164" fontId="2" fillId="0" borderId="0" xfId="20" applyFont="1" applyFill="1" applyBorder="1" applyAlignment="1">
      <alignment horizontal="center"/>
      <protection/>
    </xf>
    <xf numFmtId="164" fontId="2" fillId="0" borderId="0" xfId="20" applyFont="1" applyFill="1" applyAlignment="1">
      <alignment horizontal="center"/>
      <protection/>
    </xf>
    <xf numFmtId="167" fontId="1" fillId="0" borderId="0" xfId="20" applyNumberFormat="1" applyFont="1">
      <alignment/>
      <protection/>
    </xf>
    <xf numFmtId="167" fontId="2" fillId="0" borderId="0" xfId="20" applyNumberFormat="1" applyFont="1">
      <alignment/>
      <protection/>
    </xf>
    <xf numFmtId="164" fontId="3" fillId="0" borderId="0" xfId="20" applyFont="1" applyFill="1">
      <alignment/>
      <protection/>
    </xf>
    <xf numFmtId="164" fontId="0" fillId="0" borderId="0" xfId="20" applyFont="1" applyAlignment="1">
      <alignment horizontal="center"/>
      <protection/>
    </xf>
    <xf numFmtId="164" fontId="2" fillId="0" borderId="0" xfId="20" applyFont="1" applyFill="1" applyBorder="1" applyAlignment="1">
      <alignment horizontal="left"/>
      <protection/>
    </xf>
    <xf numFmtId="167" fontId="7" fillId="0" borderId="0" xfId="20" applyNumberFormat="1" applyFont="1" applyFill="1">
      <alignment/>
      <protection/>
    </xf>
    <xf numFmtId="168" fontId="1" fillId="2" borderId="0" xfId="20" applyNumberFormat="1" applyFont="1" applyFill="1">
      <alignment/>
      <protection/>
    </xf>
    <xf numFmtId="164" fontId="0" fillId="3" borderId="0" xfId="20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tabSelected="1" zoomScale="90" zoomScaleNormal="90" workbookViewId="0" topLeftCell="A1">
      <pane xSplit="6" ySplit="6" topLeftCell="V7" activePane="bottomRight" state="frozen"/>
      <selection pane="topLeft" activeCell="A1" sqref="A1"/>
      <selection pane="topRight" activeCell="V1" sqref="V1"/>
      <selection pane="bottomLeft" activeCell="A7" sqref="A7"/>
      <selection pane="bottomRight" activeCell="AJ12" sqref="AJ12"/>
    </sheetView>
  </sheetViews>
  <sheetFormatPr defaultColWidth="9.140625" defaultRowHeight="12.75"/>
  <cols>
    <col min="1" max="1" width="8.57421875" style="1" customWidth="1"/>
    <col min="2" max="2" width="4.421875" style="1" customWidth="1"/>
    <col min="3" max="3" width="17.140625" style="2" customWidth="1"/>
    <col min="4" max="4" width="8.7109375" style="2" customWidth="1"/>
    <col min="5" max="5" width="5.421875" style="3" customWidth="1"/>
    <col min="6" max="6" width="2.28125" style="3" customWidth="1"/>
    <col min="7" max="7" width="8.7109375" style="4" customWidth="1"/>
    <col min="8" max="8" width="3.57421875" style="5" customWidth="1"/>
    <col min="9" max="10" width="6.00390625" style="4" customWidth="1"/>
    <col min="11" max="11" width="6.7109375" style="4" customWidth="1"/>
    <col min="12" max="13" width="6.00390625" style="4" customWidth="1"/>
    <col min="14" max="14" width="3.140625" style="4" customWidth="1"/>
    <col min="15" max="15" width="9.421875" style="6" customWidth="1"/>
    <col min="16" max="16" width="6.00390625" style="4" customWidth="1"/>
    <col min="17" max="17" width="3.57421875" style="4" customWidth="1"/>
    <col min="18" max="18" width="8.28125" style="4" customWidth="1"/>
    <col min="19" max="19" width="3.57421875" style="4" customWidth="1"/>
    <col min="20" max="20" width="6.57421875" style="4" customWidth="1"/>
    <col min="21" max="23" width="6.00390625" style="4" customWidth="1"/>
    <col min="24" max="24" width="9.421875" style="6" customWidth="1"/>
    <col min="25" max="25" width="6.00390625" style="4" customWidth="1"/>
    <col min="26" max="26" width="4.8515625" style="4" customWidth="1"/>
    <col min="27" max="27" width="8.28125" style="4" customWidth="1"/>
    <col min="28" max="28" width="4.8515625" style="4" customWidth="1"/>
    <col min="29" max="29" width="8.421875" style="4" customWidth="1"/>
    <col min="30" max="30" width="3.140625" style="4" customWidth="1"/>
    <col min="31" max="31" width="8.00390625" style="4" customWidth="1"/>
    <col min="32" max="32" width="4.8515625" style="4" customWidth="1"/>
    <col min="33" max="33" width="7.8515625" style="7" customWidth="1"/>
    <col min="34" max="35" width="0" style="8" hidden="1" customWidth="1"/>
    <col min="36" max="36" width="10.28125" style="9" customWidth="1"/>
    <col min="37" max="59" width="9.140625" style="9" customWidth="1"/>
    <col min="60" max="16384" width="8.57421875" style="1" customWidth="1"/>
  </cols>
  <sheetData>
    <row r="1" spans="2:33" ht="12.75">
      <c r="B1" s="10" t="s">
        <v>0</v>
      </c>
      <c r="C1" s="11"/>
      <c r="D1" s="11"/>
      <c r="G1" s="12"/>
      <c r="I1" s="12"/>
      <c r="J1" s="12"/>
      <c r="K1" s="12"/>
      <c r="L1" s="12"/>
      <c r="M1" s="12"/>
      <c r="N1" s="12"/>
      <c r="O1" s="13"/>
      <c r="P1" s="12"/>
      <c r="Q1" s="12"/>
      <c r="R1" s="12"/>
      <c r="S1" s="12"/>
      <c r="T1" s="12"/>
      <c r="U1" s="12"/>
      <c r="V1" s="12"/>
      <c r="W1" s="12"/>
      <c r="X1" s="13"/>
      <c r="Y1" s="12"/>
      <c r="Z1" s="12"/>
      <c r="AA1" s="12"/>
      <c r="AB1" s="12"/>
      <c r="AC1" s="12"/>
      <c r="AD1" s="12"/>
      <c r="AE1" s="12"/>
      <c r="AF1" s="12"/>
      <c r="AG1" s="14"/>
    </row>
    <row r="2" spans="2:35" ht="12.75">
      <c r="B2" s="10" t="s">
        <v>1</v>
      </c>
      <c r="C2" s="11"/>
      <c r="D2" s="11"/>
      <c r="G2" s="12"/>
      <c r="I2" s="12"/>
      <c r="J2" s="12"/>
      <c r="K2" s="12"/>
      <c r="L2" s="12"/>
      <c r="M2" s="12"/>
      <c r="N2" s="12"/>
      <c r="O2" s="13"/>
      <c r="P2" s="12"/>
      <c r="Q2" s="12"/>
      <c r="R2" s="12"/>
      <c r="S2" s="12"/>
      <c r="T2" s="12"/>
      <c r="U2" s="12"/>
      <c r="V2" s="12"/>
      <c r="W2" s="12"/>
      <c r="X2" s="13"/>
      <c r="Y2" s="12"/>
      <c r="Z2" s="12"/>
      <c r="AA2" s="12"/>
      <c r="AB2" s="12"/>
      <c r="AC2" s="12"/>
      <c r="AD2" s="12"/>
      <c r="AE2" s="12"/>
      <c r="AF2" s="12"/>
      <c r="AG2" s="14"/>
      <c r="AH2" s="8" t="s">
        <v>2</v>
      </c>
      <c r="AI2" s="8" t="s">
        <v>3</v>
      </c>
    </row>
    <row r="3" spans="2:29" ht="12.75">
      <c r="B3" s="10" t="s">
        <v>4</v>
      </c>
      <c r="G3" s="15" t="s">
        <v>5</v>
      </c>
      <c r="I3" s="15" t="s">
        <v>5</v>
      </c>
      <c r="K3" s="15" t="s">
        <v>5</v>
      </c>
      <c r="M3" s="15" t="s">
        <v>5</v>
      </c>
      <c r="P3" s="15"/>
      <c r="R3" s="15"/>
      <c r="T3" s="15"/>
      <c r="V3" s="15"/>
      <c r="Y3" s="15"/>
      <c r="AA3" s="15"/>
      <c r="AC3" s="15"/>
    </row>
    <row r="4" spans="3:33" ht="12.75">
      <c r="C4" s="16"/>
      <c r="D4" s="16"/>
      <c r="G4" s="17" t="s">
        <v>6</v>
      </c>
      <c r="H4" s="17"/>
      <c r="I4" s="17"/>
      <c r="J4" s="17"/>
      <c r="K4" s="17"/>
      <c r="L4" s="17"/>
      <c r="M4" s="17"/>
      <c r="N4" s="17"/>
      <c r="O4" s="18"/>
      <c r="P4" s="17" t="s">
        <v>7</v>
      </c>
      <c r="Q4" s="17"/>
      <c r="R4" s="17"/>
      <c r="S4" s="17"/>
      <c r="T4" s="17"/>
      <c r="U4" s="17"/>
      <c r="V4" s="17"/>
      <c r="W4" s="17"/>
      <c r="X4" s="18"/>
      <c r="Y4" s="17" t="s">
        <v>8</v>
      </c>
      <c r="Z4" s="17"/>
      <c r="AA4" s="17"/>
      <c r="AB4" s="17"/>
      <c r="AC4" s="17"/>
      <c r="AD4" s="17"/>
      <c r="AE4" s="17"/>
      <c r="AF4" s="17"/>
      <c r="AG4" s="7" t="s">
        <v>9</v>
      </c>
    </row>
    <row r="5" spans="2:35" ht="12.75">
      <c r="B5" s="10" t="s">
        <v>10</v>
      </c>
      <c r="C5" s="11" t="s">
        <v>11</v>
      </c>
      <c r="D5" s="11"/>
      <c r="E5" s="3" t="s">
        <v>3</v>
      </c>
      <c r="G5" s="19" t="s">
        <v>12</v>
      </c>
      <c r="H5" s="3"/>
      <c r="I5" s="19" t="s">
        <v>12</v>
      </c>
      <c r="J5" s="19"/>
      <c r="K5" s="19" t="s">
        <v>12</v>
      </c>
      <c r="L5" s="19"/>
      <c r="M5" s="19" t="s">
        <v>12</v>
      </c>
      <c r="N5" s="19"/>
      <c r="O5" s="20" t="s">
        <v>13</v>
      </c>
      <c r="P5" s="19" t="s">
        <v>12</v>
      </c>
      <c r="Q5" s="3"/>
      <c r="R5" s="19" t="s">
        <v>12</v>
      </c>
      <c r="S5" s="19"/>
      <c r="T5" s="19" t="s">
        <v>12</v>
      </c>
      <c r="U5" s="19"/>
      <c r="V5" s="19" t="s">
        <v>12</v>
      </c>
      <c r="W5" s="19"/>
      <c r="X5" s="20" t="s">
        <v>13</v>
      </c>
      <c r="Y5" s="19" t="s">
        <v>12</v>
      </c>
      <c r="Z5" s="3"/>
      <c r="AA5" s="19" t="s">
        <v>12</v>
      </c>
      <c r="AB5" s="19"/>
      <c r="AC5" s="19" t="s">
        <v>12</v>
      </c>
      <c r="AD5" s="19"/>
      <c r="AE5" s="19" t="s">
        <v>12</v>
      </c>
      <c r="AF5" s="19"/>
      <c r="AG5" s="21" t="s">
        <v>14</v>
      </c>
      <c r="AH5" s="22" t="s">
        <v>15</v>
      </c>
      <c r="AI5" s="22" t="s">
        <v>15</v>
      </c>
    </row>
    <row r="6" spans="2:59" s="23" customFormat="1" ht="12.75">
      <c r="B6" s="24"/>
      <c r="C6" s="25"/>
      <c r="D6" s="25"/>
      <c r="E6" s="26"/>
      <c r="F6" s="26"/>
      <c r="G6" s="26">
        <v>1</v>
      </c>
      <c r="H6" s="26"/>
      <c r="I6" s="26">
        <v>2</v>
      </c>
      <c r="J6" s="26"/>
      <c r="K6" s="26">
        <v>3</v>
      </c>
      <c r="L6" s="26"/>
      <c r="M6" s="26">
        <v>4</v>
      </c>
      <c r="N6" s="26"/>
      <c r="O6" s="27"/>
      <c r="P6" s="26">
        <v>1</v>
      </c>
      <c r="Q6" s="26"/>
      <c r="R6" s="26">
        <v>2</v>
      </c>
      <c r="S6" s="26"/>
      <c r="T6" s="26">
        <v>3</v>
      </c>
      <c r="U6" s="26"/>
      <c r="V6" s="26">
        <v>4</v>
      </c>
      <c r="W6" s="26"/>
      <c r="X6" s="27"/>
      <c r="Y6" s="26">
        <v>1</v>
      </c>
      <c r="Z6" s="26"/>
      <c r="AA6" s="26">
        <v>2</v>
      </c>
      <c r="AB6" s="26"/>
      <c r="AC6" s="26">
        <v>3</v>
      </c>
      <c r="AD6" s="26"/>
      <c r="AE6" s="26">
        <v>4</v>
      </c>
      <c r="AF6" s="26"/>
      <c r="AG6" s="21"/>
      <c r="AH6" s="28"/>
      <c r="AI6" s="28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</row>
    <row r="7" spans="1:59" s="40" customFormat="1" ht="12.75">
      <c r="A7" s="30">
        <v>1</v>
      </c>
      <c r="B7" s="31">
        <v>1</v>
      </c>
      <c r="C7" s="32" t="s">
        <v>16</v>
      </c>
      <c r="D7" s="32" t="s">
        <v>17</v>
      </c>
      <c r="E7" s="33" t="s">
        <v>18</v>
      </c>
      <c r="F7" s="8"/>
      <c r="G7" s="34">
        <v>44</v>
      </c>
      <c r="H7" s="35"/>
      <c r="I7" s="34">
        <f>40.31</f>
        <v>40.31</v>
      </c>
      <c r="J7" s="35"/>
      <c r="K7" s="34">
        <f>56.35</f>
        <v>56.35</v>
      </c>
      <c r="L7" s="35"/>
      <c r="M7" s="34">
        <f>40.69</f>
        <v>40.69</v>
      </c>
      <c r="N7" s="35"/>
      <c r="O7" s="36">
        <f aca="true" t="shared" si="0" ref="O7:O29">SUM(G7+I7+K7+M7)</f>
        <v>181.35</v>
      </c>
      <c r="P7" s="34">
        <v>44.7</v>
      </c>
      <c r="Q7" s="35"/>
      <c r="R7" s="34">
        <v>40.41</v>
      </c>
      <c r="S7" s="35"/>
      <c r="T7" s="34">
        <v>58.25</v>
      </c>
      <c r="U7" s="35"/>
      <c r="V7" s="34">
        <v>39.87</v>
      </c>
      <c r="W7" s="35"/>
      <c r="X7" s="36">
        <f aca="true" t="shared" si="1" ref="X7:X29">SUM(O7+P7+R7+T7+V7)</f>
        <v>364.58000000000004</v>
      </c>
      <c r="Y7" s="34">
        <v>44.8</v>
      </c>
      <c r="Z7" s="35"/>
      <c r="AA7" s="34">
        <v>40.59</v>
      </c>
      <c r="AB7" s="35"/>
      <c r="AC7" s="34">
        <v>57.04</v>
      </c>
      <c r="AD7" s="35"/>
      <c r="AE7" s="34">
        <v>40.66</v>
      </c>
      <c r="AF7" s="37"/>
      <c r="AG7" s="36">
        <f aca="true" t="shared" si="2" ref="AG7:AG29">SUM(X7+Y7+AA7+AC7+AE7)</f>
        <v>547.6700000000001</v>
      </c>
      <c r="AH7" s="8"/>
      <c r="AI7" s="8"/>
      <c r="AJ7" s="38" t="s">
        <v>19</v>
      </c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</row>
    <row r="8" spans="1:36" ht="12.75">
      <c r="A8" s="30">
        <v>2</v>
      </c>
      <c r="B8" s="41">
        <v>60</v>
      </c>
      <c r="C8" s="31" t="s">
        <v>20</v>
      </c>
      <c r="D8" s="42" t="s">
        <v>17</v>
      </c>
      <c r="E8" s="43" t="s">
        <v>18</v>
      </c>
      <c r="F8" s="44"/>
      <c r="G8" s="45">
        <v>44</v>
      </c>
      <c r="H8" s="46"/>
      <c r="I8" s="45">
        <v>40.28</v>
      </c>
      <c r="J8" s="46"/>
      <c r="K8" s="45">
        <v>60.5</v>
      </c>
      <c r="L8" s="46"/>
      <c r="M8" s="45">
        <v>40.28</v>
      </c>
      <c r="N8" s="46"/>
      <c r="O8" s="14">
        <f t="shared" si="0"/>
        <v>185.06</v>
      </c>
      <c r="P8" s="45">
        <v>44.9</v>
      </c>
      <c r="Q8" s="46"/>
      <c r="R8" s="45">
        <v>40.44</v>
      </c>
      <c r="S8" s="46"/>
      <c r="T8" s="45">
        <v>57.38</v>
      </c>
      <c r="U8" s="46"/>
      <c r="V8" s="45">
        <v>40</v>
      </c>
      <c r="W8" s="46"/>
      <c r="X8" s="14">
        <f t="shared" si="1"/>
        <v>367.78</v>
      </c>
      <c r="Y8" s="45">
        <v>45.1</v>
      </c>
      <c r="Z8" s="46"/>
      <c r="AA8" s="45">
        <v>39.32</v>
      </c>
      <c r="AB8" s="46"/>
      <c r="AC8" s="45">
        <v>57.72</v>
      </c>
      <c r="AD8" s="46"/>
      <c r="AE8" s="45">
        <v>39.75</v>
      </c>
      <c r="AF8" s="47"/>
      <c r="AG8" s="14">
        <f t="shared" si="2"/>
        <v>549.67</v>
      </c>
      <c r="AJ8" s="9" t="s">
        <v>21</v>
      </c>
    </row>
    <row r="9" spans="1:36" s="9" customFormat="1" ht="12.75">
      <c r="A9" s="38">
        <v>3</v>
      </c>
      <c r="B9" s="42">
        <v>2</v>
      </c>
      <c r="C9" s="31" t="s">
        <v>22</v>
      </c>
      <c r="D9" s="31" t="s">
        <v>17</v>
      </c>
      <c r="E9" s="43" t="s">
        <v>23</v>
      </c>
      <c r="F9" s="44"/>
      <c r="G9" s="45">
        <v>46.2</v>
      </c>
      <c r="I9" s="45">
        <v>41.44</v>
      </c>
      <c r="K9" s="45">
        <v>60.12</v>
      </c>
      <c r="M9" s="45">
        <v>40.88</v>
      </c>
      <c r="N9" s="46"/>
      <c r="O9" s="14">
        <f>SUM(G9+I9+K9+M9)</f>
        <v>188.64</v>
      </c>
      <c r="P9" s="45">
        <v>46.2</v>
      </c>
      <c r="Q9" s="46"/>
      <c r="R9" s="45">
        <v>41.5</v>
      </c>
      <c r="S9" s="46"/>
      <c r="T9" s="45">
        <v>59.03</v>
      </c>
      <c r="U9" s="46"/>
      <c r="V9" s="45">
        <v>40.5</v>
      </c>
      <c r="W9" s="45"/>
      <c r="X9" s="14">
        <f>SUM(O9+P9+R9+T9+V9)</f>
        <v>375.87</v>
      </c>
      <c r="Y9" s="45">
        <v>45.9</v>
      </c>
      <c r="Z9" s="46"/>
      <c r="AA9" s="45">
        <v>41.53</v>
      </c>
      <c r="AB9" s="46"/>
      <c r="AC9" s="45">
        <v>59.38</v>
      </c>
      <c r="AD9" s="46"/>
      <c r="AE9" s="45">
        <v>40</v>
      </c>
      <c r="AF9" s="47"/>
      <c r="AG9" s="14">
        <f>SUM(X9+Y9+AA9+AC9+AE9)</f>
        <v>562.68</v>
      </c>
      <c r="AH9" s="8"/>
      <c r="AI9" s="8"/>
      <c r="AJ9" s="39" t="s">
        <v>24</v>
      </c>
    </row>
    <row r="10" spans="1:36" ht="12.75">
      <c r="A10" s="38">
        <v>4</v>
      </c>
      <c r="B10" s="42">
        <v>14</v>
      </c>
      <c r="C10" s="31" t="s">
        <v>25</v>
      </c>
      <c r="D10" s="31" t="s">
        <v>17</v>
      </c>
      <c r="E10" s="43" t="s">
        <v>18</v>
      </c>
      <c r="F10" s="44"/>
      <c r="G10" s="45">
        <v>46.9</v>
      </c>
      <c r="H10" s="46"/>
      <c r="I10" s="45">
        <v>41.22</v>
      </c>
      <c r="J10" s="46"/>
      <c r="K10" s="45">
        <v>58.65</v>
      </c>
      <c r="L10" s="46"/>
      <c r="M10" s="45">
        <v>41.32</v>
      </c>
      <c r="N10" s="46"/>
      <c r="O10" s="14">
        <f t="shared" si="0"/>
        <v>188.09</v>
      </c>
      <c r="P10" s="45">
        <v>47.2</v>
      </c>
      <c r="Q10" s="46"/>
      <c r="R10" s="45">
        <v>41.25</v>
      </c>
      <c r="S10" s="46"/>
      <c r="T10" s="45">
        <v>60.09</v>
      </c>
      <c r="U10" s="46"/>
      <c r="V10" s="45">
        <v>40.21</v>
      </c>
      <c r="W10" s="46"/>
      <c r="X10" s="14">
        <f t="shared" si="1"/>
        <v>376.84</v>
      </c>
      <c r="Y10" s="45">
        <v>46.6</v>
      </c>
      <c r="Z10" s="46"/>
      <c r="AA10" s="45">
        <v>41.85</v>
      </c>
      <c r="AB10" s="46"/>
      <c r="AC10" s="45">
        <v>57.85</v>
      </c>
      <c r="AD10" s="46"/>
      <c r="AE10" s="45">
        <v>40</v>
      </c>
      <c r="AF10" s="47"/>
      <c r="AG10" s="14">
        <f t="shared" si="2"/>
        <v>563.14</v>
      </c>
      <c r="AJ10" s="9" t="s">
        <v>26</v>
      </c>
    </row>
    <row r="11" spans="1:36" s="9" customFormat="1" ht="12.75">
      <c r="A11" s="30">
        <v>5</v>
      </c>
      <c r="B11" s="42">
        <v>24</v>
      </c>
      <c r="C11" s="31" t="s">
        <v>27</v>
      </c>
      <c r="D11" s="31" t="s">
        <v>17</v>
      </c>
      <c r="E11" s="43" t="s">
        <v>23</v>
      </c>
      <c r="F11" s="44"/>
      <c r="G11" s="45">
        <v>45</v>
      </c>
      <c r="H11" s="46"/>
      <c r="I11" s="45">
        <v>41.59</v>
      </c>
      <c r="J11" s="46"/>
      <c r="K11" s="45">
        <v>60.5</v>
      </c>
      <c r="L11" s="46"/>
      <c r="M11" s="45">
        <v>41.87</v>
      </c>
      <c r="N11" s="46"/>
      <c r="O11" s="14">
        <f t="shared" si="0"/>
        <v>188.96</v>
      </c>
      <c r="P11" s="45">
        <v>47</v>
      </c>
      <c r="Q11" s="46"/>
      <c r="R11" s="45">
        <v>40.72</v>
      </c>
      <c r="S11" s="46"/>
      <c r="T11" s="45">
        <v>60.22</v>
      </c>
      <c r="U11" s="46"/>
      <c r="V11" s="45">
        <v>40.85</v>
      </c>
      <c r="W11" s="45"/>
      <c r="X11" s="14">
        <f t="shared" si="1"/>
        <v>377.75</v>
      </c>
      <c r="Y11" s="45">
        <v>48.3</v>
      </c>
      <c r="Z11" s="46"/>
      <c r="AA11" s="45">
        <v>41.07</v>
      </c>
      <c r="AB11" s="46"/>
      <c r="AC11" s="45">
        <v>58.65</v>
      </c>
      <c r="AD11" s="46"/>
      <c r="AE11" s="45">
        <v>39.72</v>
      </c>
      <c r="AF11" s="47"/>
      <c r="AG11" s="14">
        <f t="shared" si="2"/>
        <v>565.49</v>
      </c>
      <c r="AH11" s="8"/>
      <c r="AI11" s="8"/>
      <c r="AJ11" s="39" t="s">
        <v>28</v>
      </c>
    </row>
    <row r="12" spans="1:36" ht="12.75">
      <c r="A12" s="30">
        <v>6</v>
      </c>
      <c r="B12" s="42">
        <v>10</v>
      </c>
      <c r="C12" s="31" t="s">
        <v>29</v>
      </c>
      <c r="D12" s="31" t="s">
        <v>17</v>
      </c>
      <c r="E12" s="43" t="s">
        <v>30</v>
      </c>
      <c r="F12" s="44"/>
      <c r="G12" s="45">
        <v>47.5</v>
      </c>
      <c r="H12" s="46"/>
      <c r="I12" s="45">
        <v>42.41</v>
      </c>
      <c r="J12" s="46"/>
      <c r="K12" s="45">
        <v>60.96</v>
      </c>
      <c r="L12" s="46"/>
      <c r="M12" s="45">
        <v>41.53</v>
      </c>
      <c r="N12" s="46"/>
      <c r="O12" s="14">
        <f t="shared" si="0"/>
        <v>192.4</v>
      </c>
      <c r="P12" s="45">
        <v>47.4</v>
      </c>
      <c r="Q12" s="46"/>
      <c r="R12" s="45">
        <v>41.94</v>
      </c>
      <c r="S12" s="46"/>
      <c r="T12" s="45">
        <v>61.72</v>
      </c>
      <c r="U12" s="46"/>
      <c r="V12" s="45">
        <v>41.06</v>
      </c>
      <c r="W12" s="46"/>
      <c r="X12" s="14">
        <f t="shared" si="1"/>
        <v>384.52000000000004</v>
      </c>
      <c r="Y12" s="45">
        <v>48.1</v>
      </c>
      <c r="Z12" s="46"/>
      <c r="AA12" s="45">
        <v>42.35</v>
      </c>
      <c r="AB12" s="46"/>
      <c r="AC12" s="45">
        <v>60.6</v>
      </c>
      <c r="AD12" s="46"/>
      <c r="AE12" s="45">
        <v>40.2</v>
      </c>
      <c r="AF12" s="47"/>
      <c r="AG12" s="14">
        <f t="shared" si="2"/>
        <v>575.7700000000001</v>
      </c>
      <c r="AJ12" s="9" t="s">
        <v>31</v>
      </c>
    </row>
    <row r="13" spans="1:36" ht="12.75">
      <c r="A13" s="30">
        <v>7</v>
      </c>
      <c r="B13" s="48">
        <v>3</v>
      </c>
      <c r="C13" s="32" t="s">
        <v>32</v>
      </c>
      <c r="D13" s="32" t="s">
        <v>17</v>
      </c>
      <c r="E13" s="49" t="s">
        <v>18</v>
      </c>
      <c r="F13" s="44"/>
      <c r="G13" s="45">
        <v>45.2</v>
      </c>
      <c r="H13" s="46"/>
      <c r="I13" s="45">
        <v>42.44</v>
      </c>
      <c r="J13" s="46"/>
      <c r="K13" s="45">
        <v>62</v>
      </c>
      <c r="L13" s="46"/>
      <c r="M13" s="45">
        <v>42.87</v>
      </c>
      <c r="N13" s="46"/>
      <c r="O13" s="14">
        <f t="shared" si="0"/>
        <v>192.51</v>
      </c>
      <c r="P13" s="45">
        <v>46</v>
      </c>
      <c r="Q13" s="46"/>
      <c r="R13" s="45">
        <v>41.6</v>
      </c>
      <c r="S13" s="46"/>
      <c r="T13" s="45">
        <v>62.35</v>
      </c>
      <c r="U13" s="46"/>
      <c r="V13" s="45">
        <v>43.81</v>
      </c>
      <c r="W13" s="46"/>
      <c r="X13" s="14">
        <f t="shared" si="1"/>
        <v>386.27000000000004</v>
      </c>
      <c r="Y13" s="45">
        <v>45.1</v>
      </c>
      <c r="Z13" s="46"/>
      <c r="AA13" s="45">
        <v>41.84</v>
      </c>
      <c r="AB13" s="46"/>
      <c r="AC13" s="45">
        <v>62.25</v>
      </c>
      <c r="AD13" s="46"/>
      <c r="AE13" s="45">
        <v>42.2</v>
      </c>
      <c r="AF13" s="47"/>
      <c r="AG13" s="14">
        <f t="shared" si="2"/>
        <v>577.6600000000001</v>
      </c>
      <c r="AJ13" s="9" t="s">
        <v>33</v>
      </c>
    </row>
    <row r="14" spans="1:36" s="9" customFormat="1" ht="12.75">
      <c r="A14" s="38">
        <v>8</v>
      </c>
      <c r="B14" s="42">
        <v>5</v>
      </c>
      <c r="C14" s="31" t="s">
        <v>34</v>
      </c>
      <c r="D14" s="31" t="s">
        <v>17</v>
      </c>
      <c r="E14" s="43" t="s">
        <v>23</v>
      </c>
      <c r="F14" s="44"/>
      <c r="G14" s="45">
        <v>47.8</v>
      </c>
      <c r="H14" s="46"/>
      <c r="I14" s="45">
        <v>41.97</v>
      </c>
      <c r="J14" s="46"/>
      <c r="K14" s="45">
        <v>61.25</v>
      </c>
      <c r="L14" s="46"/>
      <c r="M14" s="45">
        <v>42.68</v>
      </c>
      <c r="N14" s="46"/>
      <c r="O14" s="14">
        <f t="shared" si="0"/>
        <v>193.7</v>
      </c>
      <c r="P14" s="45">
        <v>47.6</v>
      </c>
      <c r="Q14" s="46"/>
      <c r="R14" s="45">
        <v>41.91</v>
      </c>
      <c r="S14" s="46"/>
      <c r="T14" s="45">
        <v>60.5</v>
      </c>
      <c r="U14" s="46"/>
      <c r="V14" s="45">
        <v>42.38</v>
      </c>
      <c r="W14" s="46"/>
      <c r="X14" s="14">
        <f t="shared" si="1"/>
        <v>386.09</v>
      </c>
      <c r="Y14" s="45">
        <v>48</v>
      </c>
      <c r="Z14" s="46"/>
      <c r="AA14" s="45">
        <v>42.25</v>
      </c>
      <c r="AB14" s="46"/>
      <c r="AC14" s="45">
        <v>60.31</v>
      </c>
      <c r="AD14" s="46"/>
      <c r="AE14" s="45">
        <v>42.18</v>
      </c>
      <c r="AF14" s="46"/>
      <c r="AG14" s="14">
        <f t="shared" si="2"/>
        <v>578.8299999999999</v>
      </c>
      <c r="AH14" s="8"/>
      <c r="AI14" s="8"/>
      <c r="AJ14" s="39" t="s">
        <v>35</v>
      </c>
    </row>
    <row r="15" spans="1:36" ht="12.75">
      <c r="A15" s="38">
        <v>9</v>
      </c>
      <c r="B15" s="48">
        <v>6</v>
      </c>
      <c r="C15" s="31" t="s">
        <v>36</v>
      </c>
      <c r="D15" s="31" t="s">
        <v>17</v>
      </c>
      <c r="E15" s="50" t="s">
        <v>30</v>
      </c>
      <c r="F15" s="44"/>
      <c r="G15" s="45">
        <v>48.1</v>
      </c>
      <c r="H15" s="46"/>
      <c r="I15" s="45">
        <v>44.35</v>
      </c>
      <c r="J15" s="46"/>
      <c r="K15" s="45">
        <v>61.97</v>
      </c>
      <c r="L15" s="46"/>
      <c r="M15" s="45">
        <v>42.44</v>
      </c>
      <c r="N15" s="46"/>
      <c r="O15" s="14">
        <f t="shared" si="0"/>
        <v>196.86</v>
      </c>
      <c r="P15" s="45">
        <v>47</v>
      </c>
      <c r="Q15" s="46"/>
      <c r="R15" s="45">
        <v>42.5</v>
      </c>
      <c r="S15" s="46"/>
      <c r="T15" s="45">
        <v>61.56</v>
      </c>
      <c r="U15" s="46"/>
      <c r="V15" s="45">
        <v>41.88</v>
      </c>
      <c r="W15" s="46"/>
      <c r="X15" s="14">
        <f t="shared" si="1"/>
        <v>389.8</v>
      </c>
      <c r="Y15" s="12">
        <v>47.4</v>
      </c>
      <c r="AA15" s="51">
        <v>42.03</v>
      </c>
      <c r="AB15" s="52"/>
      <c r="AC15" s="52">
        <v>60.94</v>
      </c>
      <c r="AD15" s="52"/>
      <c r="AE15" s="51">
        <v>40.3</v>
      </c>
      <c r="AF15" s="47"/>
      <c r="AG15" s="14">
        <f t="shared" si="2"/>
        <v>580.47</v>
      </c>
      <c r="AJ15" s="9" t="s">
        <v>37</v>
      </c>
    </row>
    <row r="16" spans="1:36" ht="12.75">
      <c r="A16" s="30">
        <v>10</v>
      </c>
      <c r="B16" s="41">
        <v>70</v>
      </c>
      <c r="C16" s="31" t="s">
        <v>38</v>
      </c>
      <c r="D16" s="31" t="s">
        <v>17</v>
      </c>
      <c r="E16" s="49" t="s">
        <v>39</v>
      </c>
      <c r="F16" s="44"/>
      <c r="G16" s="45">
        <v>47.2</v>
      </c>
      <c r="H16" s="46"/>
      <c r="I16" s="45">
        <v>41.81</v>
      </c>
      <c r="J16" s="46"/>
      <c r="K16" s="45">
        <v>60.25</v>
      </c>
      <c r="L16" s="46"/>
      <c r="M16" s="45">
        <v>42</v>
      </c>
      <c r="N16" s="46"/>
      <c r="O16" s="14">
        <f t="shared" si="0"/>
        <v>191.26</v>
      </c>
      <c r="P16" s="45">
        <v>47</v>
      </c>
      <c r="Q16" s="46"/>
      <c r="R16" s="45">
        <v>41.18</v>
      </c>
      <c r="S16" s="46"/>
      <c r="T16" s="45">
        <v>60.75</v>
      </c>
      <c r="U16" s="46"/>
      <c r="V16" s="45">
        <v>44.25</v>
      </c>
      <c r="W16" s="46"/>
      <c r="X16" s="14">
        <f t="shared" si="1"/>
        <v>384.44</v>
      </c>
      <c r="Y16" s="45">
        <v>46.4</v>
      </c>
      <c r="Z16" s="46"/>
      <c r="AA16" s="45">
        <v>40.97</v>
      </c>
      <c r="AB16" s="46"/>
      <c r="AC16" s="45">
        <v>75</v>
      </c>
      <c r="AD16" s="46"/>
      <c r="AE16" s="45">
        <v>40.25</v>
      </c>
      <c r="AF16" s="47"/>
      <c r="AG16" s="14">
        <f t="shared" si="2"/>
        <v>587.06</v>
      </c>
      <c r="AJ16" s="9" t="s">
        <v>40</v>
      </c>
    </row>
    <row r="17" spans="1:33" ht="12.75">
      <c r="A17" s="30">
        <v>11</v>
      </c>
      <c r="B17" s="42">
        <v>7</v>
      </c>
      <c r="C17" s="31" t="s">
        <v>41</v>
      </c>
      <c r="D17" s="31" t="s">
        <v>17</v>
      </c>
      <c r="E17" s="43" t="s">
        <v>23</v>
      </c>
      <c r="F17" s="44"/>
      <c r="G17" s="45">
        <v>47.9</v>
      </c>
      <c r="H17" s="46"/>
      <c r="I17" s="45">
        <v>43.23</v>
      </c>
      <c r="J17" s="46"/>
      <c r="K17" s="45">
        <v>70.75</v>
      </c>
      <c r="L17" s="46"/>
      <c r="M17" s="45">
        <v>44.44</v>
      </c>
      <c r="N17" s="46"/>
      <c r="O17" s="14">
        <f t="shared" si="0"/>
        <v>206.32</v>
      </c>
      <c r="P17" s="45">
        <v>49</v>
      </c>
      <c r="Q17" s="46"/>
      <c r="R17" s="45">
        <v>43.03</v>
      </c>
      <c r="S17" s="46"/>
      <c r="T17" s="45">
        <v>61.81</v>
      </c>
      <c r="U17" s="46"/>
      <c r="V17" s="45">
        <v>42.41</v>
      </c>
      <c r="W17" s="46"/>
      <c r="X17" s="14">
        <f t="shared" si="1"/>
        <v>402.57000000000005</v>
      </c>
      <c r="Y17" s="45">
        <v>48.2</v>
      </c>
      <c r="Z17" s="46"/>
      <c r="AA17" s="45">
        <v>42.16</v>
      </c>
      <c r="AB17" s="46"/>
      <c r="AC17" s="45">
        <v>62.19</v>
      </c>
      <c r="AD17" s="46"/>
      <c r="AE17" s="45">
        <v>42.72</v>
      </c>
      <c r="AF17" s="47"/>
      <c r="AG17" s="14">
        <f t="shared" si="2"/>
        <v>597.8400000000001</v>
      </c>
    </row>
    <row r="18" spans="1:33" ht="12.75">
      <c r="A18" s="30">
        <v>12</v>
      </c>
      <c r="B18" s="41">
        <v>9</v>
      </c>
      <c r="C18" s="31" t="s">
        <v>42</v>
      </c>
      <c r="D18" s="31" t="s">
        <v>17</v>
      </c>
      <c r="E18" s="43" t="s">
        <v>18</v>
      </c>
      <c r="F18" s="44"/>
      <c r="G18" s="45">
        <v>47.6</v>
      </c>
      <c r="H18" s="46"/>
      <c r="I18" s="45">
        <v>44.44</v>
      </c>
      <c r="J18" s="46"/>
      <c r="K18" s="45">
        <v>62.6</v>
      </c>
      <c r="L18" s="46"/>
      <c r="M18" s="45">
        <v>45.94</v>
      </c>
      <c r="N18" s="46"/>
      <c r="O18" s="14">
        <f t="shared" si="0"/>
        <v>200.57999999999998</v>
      </c>
      <c r="P18" s="45">
        <v>47.8</v>
      </c>
      <c r="Q18" s="46"/>
      <c r="R18" s="45">
        <v>44.72</v>
      </c>
      <c r="S18" s="46"/>
      <c r="T18" s="45">
        <v>62.97</v>
      </c>
      <c r="U18" s="46"/>
      <c r="V18" s="45">
        <v>50.56</v>
      </c>
      <c r="W18" s="46"/>
      <c r="X18" s="14">
        <f t="shared" si="1"/>
        <v>406.63000000000005</v>
      </c>
      <c r="Y18" s="45">
        <v>48.6</v>
      </c>
      <c r="Z18" s="46"/>
      <c r="AA18" s="45">
        <v>44.5</v>
      </c>
      <c r="AB18" s="46"/>
      <c r="AC18" s="45">
        <v>64.22</v>
      </c>
      <c r="AD18" s="46"/>
      <c r="AE18" s="45">
        <v>44.22</v>
      </c>
      <c r="AF18" s="47"/>
      <c r="AG18" s="14">
        <f t="shared" si="2"/>
        <v>608.1700000000001</v>
      </c>
    </row>
    <row r="19" spans="1:33" ht="12.75">
      <c r="A19" s="38">
        <v>13</v>
      </c>
      <c r="B19" s="48">
        <v>11</v>
      </c>
      <c r="C19" s="31" t="s">
        <v>43</v>
      </c>
      <c r="D19" s="31" t="s">
        <v>17</v>
      </c>
      <c r="E19" s="43" t="s">
        <v>18</v>
      </c>
      <c r="F19" s="44"/>
      <c r="G19" s="45">
        <v>61.3</v>
      </c>
      <c r="H19" s="46"/>
      <c r="I19" s="45">
        <v>42.9</v>
      </c>
      <c r="J19" s="46"/>
      <c r="K19" s="45">
        <f>63+5</f>
        <v>68</v>
      </c>
      <c r="L19" s="46" t="s">
        <v>44</v>
      </c>
      <c r="M19" s="45">
        <v>44.65</v>
      </c>
      <c r="N19" s="46"/>
      <c r="O19" s="14">
        <f t="shared" si="0"/>
        <v>216.85</v>
      </c>
      <c r="P19" s="45">
        <v>49.3</v>
      </c>
      <c r="Q19" s="46"/>
      <c r="R19" s="45">
        <v>41.63</v>
      </c>
      <c r="S19" s="46"/>
      <c r="T19" s="45">
        <v>58.84</v>
      </c>
      <c r="U19" s="46"/>
      <c r="V19" s="45">
        <v>43.34</v>
      </c>
      <c r="W19" s="46"/>
      <c r="X19" s="14">
        <f t="shared" si="1"/>
        <v>409.96000000000004</v>
      </c>
      <c r="Y19" s="45">
        <v>50.3</v>
      </c>
      <c r="Z19" s="46"/>
      <c r="AA19" s="45">
        <v>42.34</v>
      </c>
      <c r="AB19" s="46"/>
      <c r="AC19" s="45">
        <v>63.63</v>
      </c>
      <c r="AD19" s="46"/>
      <c r="AE19" s="45">
        <v>43</v>
      </c>
      <c r="AF19" s="47"/>
      <c r="AG19" s="14">
        <f t="shared" si="2"/>
        <v>609.23</v>
      </c>
    </row>
    <row r="20" spans="1:36" ht="12.75">
      <c r="A20" s="38">
        <v>14</v>
      </c>
      <c r="B20" s="48">
        <v>51</v>
      </c>
      <c r="C20" s="32" t="s">
        <v>45</v>
      </c>
      <c r="D20" s="32" t="s">
        <v>46</v>
      </c>
      <c r="E20" s="50" t="s">
        <v>30</v>
      </c>
      <c r="F20" s="44"/>
      <c r="G20" s="45">
        <v>50.8</v>
      </c>
      <c r="H20" s="46"/>
      <c r="I20" s="45">
        <v>43.63</v>
      </c>
      <c r="J20" s="46"/>
      <c r="K20" s="45">
        <v>63.59</v>
      </c>
      <c r="L20" s="46"/>
      <c r="M20" s="45">
        <v>46.09</v>
      </c>
      <c r="N20" s="46"/>
      <c r="O20" s="14">
        <f t="shared" si="0"/>
        <v>204.11</v>
      </c>
      <c r="P20" s="45">
        <v>49.5</v>
      </c>
      <c r="Q20" s="46"/>
      <c r="R20" s="45">
        <f>43.69+5+5</f>
        <v>53.69</v>
      </c>
      <c r="S20" s="46" t="s">
        <v>47</v>
      </c>
      <c r="T20" s="35">
        <f>60.72+5</f>
        <v>65.72</v>
      </c>
      <c r="U20" s="35" t="s">
        <v>44</v>
      </c>
      <c r="V20" s="45">
        <v>45.66</v>
      </c>
      <c r="W20" s="46"/>
      <c r="X20" s="14">
        <f t="shared" si="1"/>
        <v>418.67999999999995</v>
      </c>
      <c r="Y20" s="45">
        <v>47.3</v>
      </c>
      <c r="Z20" s="46"/>
      <c r="AA20" s="45">
        <v>41.89</v>
      </c>
      <c r="AB20" s="46"/>
      <c r="AC20" s="45">
        <v>61.4</v>
      </c>
      <c r="AD20" s="46"/>
      <c r="AE20" s="45">
        <v>41.25</v>
      </c>
      <c r="AF20" s="47"/>
      <c r="AG20" s="14">
        <f t="shared" si="2"/>
        <v>610.52</v>
      </c>
      <c r="AJ20" s="9" t="s">
        <v>48</v>
      </c>
    </row>
    <row r="21" spans="1:33" ht="12.75">
      <c r="A21" s="30">
        <v>15</v>
      </c>
      <c r="B21" s="42">
        <v>8</v>
      </c>
      <c r="C21" s="31" t="s">
        <v>49</v>
      </c>
      <c r="D21" s="31" t="s">
        <v>17</v>
      </c>
      <c r="E21" s="43" t="s">
        <v>23</v>
      </c>
      <c r="F21" s="44"/>
      <c r="G21" s="45">
        <v>46.5</v>
      </c>
      <c r="H21" s="46"/>
      <c r="I21" s="45">
        <f>42.41+5</f>
        <v>47.41</v>
      </c>
      <c r="J21" s="46" t="s">
        <v>50</v>
      </c>
      <c r="K21" s="34">
        <v>63.16</v>
      </c>
      <c r="L21" s="46"/>
      <c r="M21" s="45">
        <f>MIN(M19:M20,M22:M25)+20</f>
        <v>63.91</v>
      </c>
      <c r="N21" s="46" t="s">
        <v>51</v>
      </c>
      <c r="O21" s="14">
        <f t="shared" si="0"/>
        <v>220.98</v>
      </c>
      <c r="P21" s="53">
        <v>47.8</v>
      </c>
      <c r="Q21" s="9"/>
      <c r="R21" s="53">
        <v>40.94</v>
      </c>
      <c r="S21" s="9"/>
      <c r="T21" s="53">
        <v>65.16</v>
      </c>
      <c r="U21" s="9"/>
      <c r="V21" s="34">
        <v>42.21</v>
      </c>
      <c r="W21" s="45"/>
      <c r="X21" s="14">
        <f t="shared" si="1"/>
        <v>417.09</v>
      </c>
      <c r="Y21" s="45">
        <f>MIN(Y19:Y20,Y22:Y25)+20</f>
        <v>67.3</v>
      </c>
      <c r="Z21" s="46" t="s">
        <v>51</v>
      </c>
      <c r="AA21" s="45">
        <v>42.09</v>
      </c>
      <c r="AB21" s="46"/>
      <c r="AC21" s="45">
        <v>61.44</v>
      </c>
      <c r="AD21" s="46"/>
      <c r="AE21" s="45">
        <v>41.14</v>
      </c>
      <c r="AF21" s="47"/>
      <c r="AG21" s="14">
        <f t="shared" si="2"/>
        <v>629.0600000000001</v>
      </c>
    </row>
    <row r="22" spans="1:36" ht="12.75">
      <c r="A22" s="30">
        <v>16</v>
      </c>
      <c r="B22" s="48">
        <v>22</v>
      </c>
      <c r="C22" s="31" t="s">
        <v>52</v>
      </c>
      <c r="D22" s="42" t="s">
        <v>53</v>
      </c>
      <c r="E22" s="43" t="s">
        <v>39</v>
      </c>
      <c r="F22" s="44"/>
      <c r="G22" s="45">
        <v>48</v>
      </c>
      <c r="H22" s="46"/>
      <c r="I22" s="45">
        <v>42.62</v>
      </c>
      <c r="J22" s="46"/>
      <c r="K22" s="45">
        <v>67.25</v>
      </c>
      <c r="L22" s="46"/>
      <c r="M22" s="34">
        <f>42.42+5</f>
        <v>47.42</v>
      </c>
      <c r="N22" s="46" t="s">
        <v>44</v>
      </c>
      <c r="O22" s="14">
        <f t="shared" si="0"/>
        <v>205.29000000000002</v>
      </c>
      <c r="P22" s="45">
        <v>48.4</v>
      </c>
      <c r="Q22" s="46"/>
      <c r="R22" s="45">
        <v>46.94</v>
      </c>
      <c r="S22" s="46"/>
      <c r="T22" s="45">
        <v>70.94</v>
      </c>
      <c r="U22" s="46"/>
      <c r="V22" s="45">
        <f>44.53+5</f>
        <v>49.53</v>
      </c>
      <c r="W22" s="46" t="s">
        <v>44</v>
      </c>
      <c r="X22" s="14">
        <f t="shared" si="1"/>
        <v>421.1</v>
      </c>
      <c r="Y22" s="45">
        <v>48.1</v>
      </c>
      <c r="Z22" s="46"/>
      <c r="AA22" s="45">
        <v>44.03</v>
      </c>
      <c r="AB22" s="46"/>
      <c r="AC22" s="45">
        <v>68.6</v>
      </c>
      <c r="AD22" s="46"/>
      <c r="AE22" s="45">
        <v>43.78</v>
      </c>
      <c r="AF22" s="47"/>
      <c r="AG22" s="14">
        <f t="shared" si="2"/>
        <v>625.61</v>
      </c>
      <c r="AJ22" s="9" t="s">
        <v>54</v>
      </c>
    </row>
    <row r="23" spans="1:36" ht="12.75">
      <c r="A23" s="30">
        <v>17</v>
      </c>
      <c r="B23" s="48">
        <v>16</v>
      </c>
      <c r="C23" s="31" t="s">
        <v>55</v>
      </c>
      <c r="D23" s="31" t="s">
        <v>17</v>
      </c>
      <c r="E23" s="50" t="s">
        <v>39</v>
      </c>
      <c r="F23" s="44"/>
      <c r="G23" s="45">
        <v>51.6</v>
      </c>
      <c r="H23" s="46"/>
      <c r="I23" s="45">
        <v>50.69</v>
      </c>
      <c r="J23" s="46"/>
      <c r="K23" s="45">
        <v>74.5</v>
      </c>
      <c r="L23" s="46"/>
      <c r="M23" s="45">
        <v>45.28</v>
      </c>
      <c r="N23" s="46"/>
      <c r="O23" s="14">
        <f t="shared" si="0"/>
        <v>222.07</v>
      </c>
      <c r="P23" s="45">
        <v>50.5</v>
      </c>
      <c r="Q23" s="46"/>
      <c r="R23" s="45">
        <v>46.03</v>
      </c>
      <c r="S23" s="46"/>
      <c r="T23" s="45">
        <v>68.03</v>
      </c>
      <c r="U23" s="46"/>
      <c r="V23" s="45">
        <v>43.94</v>
      </c>
      <c r="W23" s="46"/>
      <c r="X23" s="14">
        <f t="shared" si="1"/>
        <v>430.57</v>
      </c>
      <c r="Y23" s="45">
        <v>50.5</v>
      </c>
      <c r="Z23" s="46"/>
      <c r="AA23" s="45">
        <v>45.25</v>
      </c>
      <c r="AB23" s="46"/>
      <c r="AC23" s="45">
        <v>67.75</v>
      </c>
      <c r="AD23" s="46"/>
      <c r="AE23" s="45">
        <v>44.53</v>
      </c>
      <c r="AF23" s="47"/>
      <c r="AG23" s="14">
        <f t="shared" si="2"/>
        <v>638.5999999999999</v>
      </c>
      <c r="AJ23" s="9" t="s">
        <v>56</v>
      </c>
    </row>
    <row r="24" spans="1:33" ht="12.75">
      <c r="A24" s="38">
        <v>18</v>
      </c>
      <c r="B24" s="41">
        <v>81</v>
      </c>
      <c r="C24" s="31" t="s">
        <v>57</v>
      </c>
      <c r="D24" s="31" t="s">
        <v>17</v>
      </c>
      <c r="E24" s="43" t="s">
        <v>23</v>
      </c>
      <c r="F24" s="44"/>
      <c r="G24" s="45">
        <v>49.2</v>
      </c>
      <c r="H24" s="46"/>
      <c r="I24" s="45">
        <v>46.65</v>
      </c>
      <c r="J24" s="46"/>
      <c r="K24" s="45">
        <v>76.75</v>
      </c>
      <c r="L24" s="46"/>
      <c r="M24" s="45">
        <v>43.91</v>
      </c>
      <c r="N24" s="46"/>
      <c r="O24" s="14">
        <f t="shared" si="0"/>
        <v>216.51</v>
      </c>
      <c r="P24" s="45">
        <f>50.9+5</f>
        <v>55.9</v>
      </c>
      <c r="Q24" s="46" t="s">
        <v>44</v>
      </c>
      <c r="R24" s="45">
        <v>47.28</v>
      </c>
      <c r="S24" s="46"/>
      <c r="T24" s="45">
        <v>70.87</v>
      </c>
      <c r="U24" s="46"/>
      <c r="V24" s="45">
        <v>46.65</v>
      </c>
      <c r="W24" s="45"/>
      <c r="X24" s="14">
        <f t="shared" si="1"/>
        <v>437.2099999999999</v>
      </c>
      <c r="Y24" s="45">
        <v>48.8</v>
      </c>
      <c r="Z24" s="46"/>
      <c r="AA24" s="45">
        <v>47.25</v>
      </c>
      <c r="AB24" s="46"/>
      <c r="AC24" s="46">
        <v>67.84</v>
      </c>
      <c r="AD24" s="46"/>
      <c r="AE24" s="45">
        <v>46.75</v>
      </c>
      <c r="AF24" s="47"/>
      <c r="AG24" s="14">
        <f t="shared" si="2"/>
        <v>647.85</v>
      </c>
    </row>
    <row r="25" spans="1:33" ht="12.75">
      <c r="A25" s="38">
        <v>19</v>
      </c>
      <c r="B25" s="48">
        <v>50</v>
      </c>
      <c r="C25" s="31" t="s">
        <v>58</v>
      </c>
      <c r="D25" s="31" t="s">
        <v>17</v>
      </c>
      <c r="E25" s="50" t="s">
        <v>39</v>
      </c>
      <c r="F25" s="44"/>
      <c r="G25" s="45">
        <v>64.1</v>
      </c>
      <c r="H25" s="46"/>
      <c r="I25" s="45">
        <v>46.57</v>
      </c>
      <c r="J25" s="46"/>
      <c r="K25" s="45">
        <v>66.66</v>
      </c>
      <c r="L25" s="46"/>
      <c r="M25" s="45">
        <v>46.75</v>
      </c>
      <c r="N25" s="46"/>
      <c r="O25" s="14">
        <f t="shared" si="0"/>
        <v>224.07999999999998</v>
      </c>
      <c r="P25" s="45">
        <v>51.2</v>
      </c>
      <c r="Q25" s="46"/>
      <c r="R25" s="45">
        <f>48.28+5</f>
        <v>53.28</v>
      </c>
      <c r="S25" s="46" t="s">
        <v>44</v>
      </c>
      <c r="T25" s="45">
        <v>73.29</v>
      </c>
      <c r="U25" s="46"/>
      <c r="V25" s="45">
        <v>43.75</v>
      </c>
      <c r="W25" s="46"/>
      <c r="X25" s="14">
        <f t="shared" si="1"/>
        <v>445.59999999999997</v>
      </c>
      <c r="Y25" s="45">
        <v>50</v>
      </c>
      <c r="Z25" s="46"/>
      <c r="AA25" s="45">
        <f>46.43+5</f>
        <v>51.43</v>
      </c>
      <c r="AB25" s="46" t="s">
        <v>44</v>
      </c>
      <c r="AC25" s="45">
        <v>66.75</v>
      </c>
      <c r="AD25" s="46"/>
      <c r="AE25" s="45">
        <v>43.5</v>
      </c>
      <c r="AF25" s="47"/>
      <c r="AG25" s="14">
        <f t="shared" si="2"/>
        <v>657.28</v>
      </c>
    </row>
    <row r="26" spans="1:33" ht="12.75">
      <c r="A26" s="30">
        <v>20</v>
      </c>
      <c r="B26" s="41">
        <v>80</v>
      </c>
      <c r="C26" s="2" t="s">
        <v>59</v>
      </c>
      <c r="D26" s="2" t="s">
        <v>17</v>
      </c>
      <c r="E26" s="54" t="s">
        <v>23</v>
      </c>
      <c r="F26" s="44"/>
      <c r="G26" s="45">
        <f>50.4+5</f>
        <v>55.4</v>
      </c>
      <c r="H26" s="46" t="s">
        <v>50</v>
      </c>
      <c r="I26" s="45">
        <f>45.44+5</f>
        <v>50.44</v>
      </c>
      <c r="J26" s="46" t="s">
        <v>44</v>
      </c>
      <c r="K26" s="45">
        <f>73.81</f>
        <v>73.81</v>
      </c>
      <c r="L26" s="46"/>
      <c r="M26" s="45">
        <f>45.59</f>
        <v>45.59</v>
      </c>
      <c r="N26" s="46"/>
      <c r="O26" s="14">
        <f t="shared" si="0"/>
        <v>225.24</v>
      </c>
      <c r="P26" s="45">
        <f>51.6+5</f>
        <v>56.6</v>
      </c>
      <c r="Q26" s="46" t="s">
        <v>44</v>
      </c>
      <c r="R26" s="45">
        <v>45.22</v>
      </c>
      <c r="S26" s="46"/>
      <c r="T26" s="45">
        <v>73.71</v>
      </c>
      <c r="U26" s="46"/>
      <c r="V26" s="45">
        <v>43.65</v>
      </c>
      <c r="W26" s="45"/>
      <c r="X26" s="14">
        <f t="shared" si="1"/>
        <v>444.42</v>
      </c>
      <c r="Y26" s="45">
        <v>49.9</v>
      </c>
      <c r="Z26" s="46"/>
      <c r="AA26" s="45">
        <f>45.28+5</f>
        <v>50.28</v>
      </c>
      <c r="AB26" s="46" t="s">
        <v>44</v>
      </c>
      <c r="AC26" s="45">
        <v>66.72</v>
      </c>
      <c r="AD26" s="46"/>
      <c r="AE26" s="45">
        <f>44.94+5</f>
        <v>49.94</v>
      </c>
      <c r="AF26" s="47" t="s">
        <v>44</v>
      </c>
      <c r="AG26" s="14">
        <f t="shared" si="2"/>
        <v>661.26</v>
      </c>
    </row>
    <row r="27" spans="1:33" ht="12.75">
      <c r="A27" s="30">
        <v>21</v>
      </c>
      <c r="B27" s="48">
        <v>20</v>
      </c>
      <c r="C27" s="55" t="s">
        <v>60</v>
      </c>
      <c r="D27" s="55" t="s">
        <v>17</v>
      </c>
      <c r="E27" s="50" t="s">
        <v>39</v>
      </c>
      <c r="F27" s="44"/>
      <c r="G27" s="45">
        <v>51.8</v>
      </c>
      <c r="H27" s="46"/>
      <c r="I27" s="45">
        <f>50.35</f>
        <v>50.35</v>
      </c>
      <c r="J27" s="46"/>
      <c r="K27" s="45">
        <f>70.44</f>
        <v>70.44</v>
      </c>
      <c r="L27" s="46"/>
      <c r="M27" s="45">
        <f>45.87</f>
        <v>45.87</v>
      </c>
      <c r="N27" s="46"/>
      <c r="O27" s="14">
        <f t="shared" si="0"/>
        <v>218.46</v>
      </c>
      <c r="P27" s="45">
        <v>51.7</v>
      </c>
      <c r="Q27" s="46"/>
      <c r="R27" s="45">
        <v>47.62</v>
      </c>
      <c r="S27" s="46"/>
      <c r="T27" s="45">
        <v>71.97</v>
      </c>
      <c r="U27" s="46"/>
      <c r="V27" s="45">
        <f>47.1+5</f>
        <v>52.1</v>
      </c>
      <c r="W27" s="46" t="s">
        <v>44</v>
      </c>
      <c r="X27" s="14">
        <f t="shared" si="1"/>
        <v>441.85</v>
      </c>
      <c r="Y27" s="45">
        <v>51.6</v>
      </c>
      <c r="Z27" s="46"/>
      <c r="AA27" s="45">
        <v>50.9</v>
      </c>
      <c r="AB27" s="46"/>
      <c r="AC27" s="45">
        <v>69.13</v>
      </c>
      <c r="AD27" s="46"/>
      <c r="AE27" s="45">
        <f>46.06+5</f>
        <v>51.06</v>
      </c>
      <c r="AF27" s="47" t="s">
        <v>44</v>
      </c>
      <c r="AG27" s="14">
        <f t="shared" si="2"/>
        <v>664.54</v>
      </c>
    </row>
    <row r="28" spans="1:33" ht="12.75">
      <c r="A28" s="30">
        <v>22</v>
      </c>
      <c r="B28" s="41">
        <v>55</v>
      </c>
      <c r="C28" s="31" t="s">
        <v>61</v>
      </c>
      <c r="D28" s="42" t="s">
        <v>53</v>
      </c>
      <c r="E28" s="43" t="s">
        <v>30</v>
      </c>
      <c r="F28" s="44"/>
      <c r="G28" s="45">
        <v>61.8</v>
      </c>
      <c r="H28" s="46"/>
      <c r="I28" s="45">
        <v>56.35</v>
      </c>
      <c r="J28" s="46"/>
      <c r="K28" s="45">
        <v>93.5</v>
      </c>
      <c r="L28" s="46"/>
      <c r="M28" s="45">
        <f>55.78+5+5</f>
        <v>65.78</v>
      </c>
      <c r="N28" s="46" t="s">
        <v>62</v>
      </c>
      <c r="O28" s="14">
        <f>SUM(G28+I28+K28+M28)</f>
        <v>277.43</v>
      </c>
      <c r="P28" s="45">
        <f>82.9</f>
        <v>82.9</v>
      </c>
      <c r="Q28" s="46"/>
      <c r="R28" s="45">
        <f>54.91</f>
        <v>54.91</v>
      </c>
      <c r="S28" s="46"/>
      <c r="T28" s="45">
        <v>93.91</v>
      </c>
      <c r="U28" s="46"/>
      <c r="V28" s="45">
        <v>54.13</v>
      </c>
      <c r="W28" s="46"/>
      <c r="X28" s="14">
        <f t="shared" si="1"/>
        <v>563.28</v>
      </c>
      <c r="Y28" s="45">
        <v>68.6</v>
      </c>
      <c r="Z28" s="46"/>
      <c r="AA28" s="45">
        <f>52.78</f>
        <v>52.78</v>
      </c>
      <c r="AB28" s="56"/>
      <c r="AC28" s="45">
        <v>97</v>
      </c>
      <c r="AD28" s="46"/>
      <c r="AE28" s="45">
        <f>MIN(AE25:AE27)+20</f>
        <v>63.5</v>
      </c>
      <c r="AF28" s="47"/>
      <c r="AG28" s="14">
        <f t="shared" si="2"/>
        <v>845.16</v>
      </c>
    </row>
    <row r="29" spans="1:33" ht="12.75">
      <c r="A29" s="38">
        <v>23</v>
      </c>
      <c r="B29" s="42">
        <v>4</v>
      </c>
      <c r="C29" s="31" t="s">
        <v>63</v>
      </c>
      <c r="D29" s="31" t="s">
        <v>17</v>
      </c>
      <c r="E29" s="43" t="s">
        <v>23</v>
      </c>
      <c r="F29" s="44"/>
      <c r="G29" s="46">
        <v>45.6</v>
      </c>
      <c r="H29" s="46"/>
      <c r="I29" s="46">
        <v>41.13</v>
      </c>
      <c r="J29" s="46"/>
      <c r="K29" s="45">
        <f>MIN(K22:K28)+20</f>
        <v>86.66</v>
      </c>
      <c r="L29" s="46" t="s">
        <v>51</v>
      </c>
      <c r="M29" s="46" t="s">
        <v>64</v>
      </c>
      <c r="N29" s="46"/>
      <c r="O29" s="14" t="e">
        <f t="shared" si="0"/>
        <v>#VALUE!</v>
      </c>
      <c r="P29" s="46" t="s">
        <v>64</v>
      </c>
      <c r="Q29" s="46"/>
      <c r="R29" s="46" t="s">
        <v>64</v>
      </c>
      <c r="S29" s="46"/>
      <c r="T29" s="46" t="s">
        <v>64</v>
      </c>
      <c r="U29" s="46"/>
      <c r="V29" s="46"/>
      <c r="W29" s="46"/>
      <c r="X29" s="14" t="e">
        <f t="shared" si="1"/>
        <v>#VALUE!</v>
      </c>
      <c r="Y29" s="46" t="s">
        <v>64</v>
      </c>
      <c r="Z29" s="46"/>
      <c r="AA29" s="46" t="s">
        <v>64</v>
      </c>
      <c r="AB29" s="46"/>
      <c r="AC29" s="46" t="s">
        <v>64</v>
      </c>
      <c r="AD29" s="46"/>
      <c r="AE29" s="46"/>
      <c r="AF29" s="46"/>
      <c r="AG29" s="14" t="e">
        <f t="shared" si="2"/>
        <v>#VALUE!</v>
      </c>
    </row>
    <row r="30" spans="2:33" ht="12.75">
      <c r="B30" s="48"/>
      <c r="C30" s="31"/>
      <c r="D30" s="31"/>
      <c r="E30" s="50"/>
      <c r="F30" s="44"/>
      <c r="G30" s="45"/>
      <c r="H30" s="45"/>
      <c r="I30" s="45"/>
      <c r="J30" s="45"/>
      <c r="K30" s="45"/>
      <c r="L30" s="45"/>
      <c r="M30" s="45"/>
      <c r="N30" s="45"/>
      <c r="O30" s="14"/>
      <c r="P30" s="46"/>
      <c r="Q30" s="46"/>
      <c r="R30" s="46"/>
      <c r="S30" s="46"/>
      <c r="T30" s="46"/>
      <c r="U30" s="46"/>
      <c r="V30" s="46"/>
      <c r="W30" s="46"/>
      <c r="X30" s="14"/>
      <c r="Y30" s="46"/>
      <c r="Z30" s="46"/>
      <c r="AA30" s="46"/>
      <c r="AB30" s="46"/>
      <c r="AC30" s="46"/>
      <c r="AD30" s="46"/>
      <c r="AE30" s="46"/>
      <c r="AF30" s="47"/>
      <c r="AG30" s="14"/>
    </row>
    <row r="31" spans="2:44" ht="12.75">
      <c r="B31" s="48"/>
      <c r="C31" s="32"/>
      <c r="D31" s="32"/>
      <c r="E31" s="49"/>
      <c r="G31" s="51"/>
      <c r="I31" s="45"/>
      <c r="J31" s="45"/>
      <c r="K31" s="45"/>
      <c r="L31" s="45"/>
      <c r="O31" s="14"/>
      <c r="P31" s="45"/>
      <c r="Q31" s="45"/>
      <c r="R31" s="45"/>
      <c r="S31" s="45"/>
      <c r="T31" s="45"/>
      <c r="U31" s="45"/>
      <c r="V31" s="46"/>
      <c r="W31" s="46"/>
      <c r="X31" s="14"/>
      <c r="Y31" s="45"/>
      <c r="Z31" s="45"/>
      <c r="AA31" s="45"/>
      <c r="AB31" s="45"/>
      <c r="AC31" s="45"/>
      <c r="AD31" s="45"/>
      <c r="AE31" s="46"/>
      <c r="AF31" s="47"/>
      <c r="AG31" s="14"/>
      <c r="AO31" s="46"/>
      <c r="AP31" s="46"/>
      <c r="AQ31" s="47"/>
      <c r="AR31" s="14"/>
    </row>
    <row r="32" spans="2:44" ht="12.75">
      <c r="B32" s="48"/>
      <c r="C32" s="32"/>
      <c r="D32" s="32"/>
      <c r="E32" s="49"/>
      <c r="G32" s="51"/>
      <c r="I32" s="45"/>
      <c r="J32" s="45"/>
      <c r="K32" s="45"/>
      <c r="L32" s="45"/>
      <c r="O32" s="14"/>
      <c r="P32" s="45"/>
      <c r="Q32" s="45"/>
      <c r="R32" s="45"/>
      <c r="S32" s="45"/>
      <c r="T32" s="45"/>
      <c r="U32" s="45"/>
      <c r="V32" s="46"/>
      <c r="W32" s="46"/>
      <c r="X32" s="14"/>
      <c r="Y32" s="45"/>
      <c r="Z32" s="45"/>
      <c r="AA32" s="45"/>
      <c r="AB32" s="45"/>
      <c r="AC32" s="45"/>
      <c r="AD32" s="45"/>
      <c r="AE32" s="46"/>
      <c r="AF32" s="47"/>
      <c r="AG32" s="14"/>
      <c r="AJ32" s="46"/>
      <c r="AK32" s="46"/>
      <c r="AL32" s="46"/>
      <c r="AM32" s="46"/>
      <c r="AN32" s="46"/>
      <c r="AO32" s="46"/>
      <c r="AP32" s="46"/>
      <c r="AQ32" s="47"/>
      <c r="AR32" s="14"/>
    </row>
    <row r="33" spans="2:44" ht="12.75">
      <c r="B33" s="48"/>
      <c r="C33" s="31"/>
      <c r="D33" s="31"/>
      <c r="E33" s="50"/>
      <c r="G33" s="51"/>
      <c r="I33" s="45"/>
      <c r="J33" s="45"/>
      <c r="K33" s="45"/>
      <c r="L33" s="45"/>
      <c r="O33" s="14"/>
      <c r="P33" s="45"/>
      <c r="Q33" s="45"/>
      <c r="R33" s="45"/>
      <c r="S33" s="45"/>
      <c r="T33" s="45"/>
      <c r="U33" s="45"/>
      <c r="V33" s="46"/>
      <c r="W33" s="46"/>
      <c r="X33" s="14"/>
      <c r="Y33" s="45"/>
      <c r="Z33" s="45"/>
      <c r="AA33" s="45"/>
      <c r="AB33" s="45"/>
      <c r="AC33" s="45"/>
      <c r="AD33" s="45"/>
      <c r="AE33" s="46"/>
      <c r="AF33" s="47"/>
      <c r="AG33" s="14"/>
      <c r="AJ33" s="46"/>
      <c r="AK33" s="46"/>
      <c r="AL33" s="46"/>
      <c r="AM33" s="46"/>
      <c r="AN33" s="46"/>
      <c r="AO33" s="46"/>
      <c r="AP33" s="46"/>
      <c r="AQ33" s="47"/>
      <c r="AR33" s="14"/>
    </row>
    <row r="34" spans="2:44" ht="12.75">
      <c r="B34" s="48"/>
      <c r="C34" s="32"/>
      <c r="D34" s="32"/>
      <c r="E34" s="49"/>
      <c r="G34" s="51"/>
      <c r="I34" s="45"/>
      <c r="J34" s="45"/>
      <c r="K34" s="45"/>
      <c r="L34" s="45"/>
      <c r="O34" s="14"/>
      <c r="P34" s="45"/>
      <c r="Q34" s="45"/>
      <c r="R34" s="45"/>
      <c r="S34" s="45"/>
      <c r="T34" s="45"/>
      <c r="U34" s="45"/>
      <c r="V34" s="46"/>
      <c r="W34" s="46"/>
      <c r="X34" s="14"/>
      <c r="Y34" s="45"/>
      <c r="Z34" s="45"/>
      <c r="AA34" s="45"/>
      <c r="AB34" s="45"/>
      <c r="AC34" s="45"/>
      <c r="AD34" s="45"/>
      <c r="AE34" s="46"/>
      <c r="AF34" s="47"/>
      <c r="AG34" s="14"/>
      <c r="AJ34" s="46"/>
      <c r="AK34" s="46"/>
      <c r="AL34" s="46"/>
      <c r="AM34" s="46"/>
      <c r="AN34" s="46"/>
      <c r="AO34" s="46"/>
      <c r="AP34" s="46"/>
      <c r="AQ34" s="47"/>
      <c r="AR34" s="14"/>
    </row>
    <row r="35" spans="2:44" ht="12.75">
      <c r="B35" s="31"/>
      <c r="C35" s="31"/>
      <c r="D35" s="31"/>
      <c r="E35" s="50"/>
      <c r="G35" s="51"/>
      <c r="I35" s="45"/>
      <c r="J35" s="45"/>
      <c r="K35" s="45"/>
      <c r="L35" s="45"/>
      <c r="O35" s="14"/>
      <c r="P35" s="45"/>
      <c r="Q35" s="45"/>
      <c r="R35" s="45"/>
      <c r="S35" s="45"/>
      <c r="T35" s="45"/>
      <c r="U35" s="45"/>
      <c r="V35" s="46"/>
      <c r="W35" s="46"/>
      <c r="X35" s="14"/>
      <c r="Y35" s="45"/>
      <c r="Z35" s="45"/>
      <c r="AA35" s="45"/>
      <c r="AB35" s="45"/>
      <c r="AC35" s="45"/>
      <c r="AD35" s="45"/>
      <c r="AE35" s="46"/>
      <c r="AF35" s="47"/>
      <c r="AG35" s="14"/>
      <c r="AJ35" s="46"/>
      <c r="AK35" s="46"/>
      <c r="AL35" s="46"/>
      <c r="AM35" s="46"/>
      <c r="AN35" s="46"/>
      <c r="AO35" s="46"/>
      <c r="AP35" s="46"/>
      <c r="AQ35" s="47"/>
      <c r="AR35" s="14"/>
    </row>
    <row r="36" spans="2:44" ht="12.75">
      <c r="B36" s="31"/>
      <c r="C36" s="31"/>
      <c r="D36" s="31"/>
      <c r="E36" s="43"/>
      <c r="G36" s="51"/>
      <c r="H36" s="10"/>
      <c r="I36" s="45"/>
      <c r="J36" s="45"/>
      <c r="K36" s="45"/>
      <c r="L36" s="45"/>
      <c r="O36" s="14"/>
      <c r="P36" s="45"/>
      <c r="Q36" s="45"/>
      <c r="R36" s="45"/>
      <c r="S36" s="45"/>
      <c r="T36" s="45"/>
      <c r="U36" s="45"/>
      <c r="V36" s="46"/>
      <c r="W36" s="46"/>
      <c r="X36" s="14"/>
      <c r="Y36" s="46"/>
      <c r="Z36" s="46"/>
      <c r="AA36" s="46"/>
      <c r="AB36" s="46"/>
      <c r="AC36" s="46"/>
      <c r="AD36" s="46"/>
      <c r="AE36" s="46"/>
      <c r="AF36" s="47"/>
      <c r="AG36" s="14"/>
      <c r="AJ36" s="46"/>
      <c r="AK36" s="46"/>
      <c r="AL36" s="46"/>
      <c r="AM36" s="46"/>
      <c r="AN36" s="46"/>
      <c r="AO36" s="46"/>
      <c r="AP36" s="46"/>
      <c r="AQ36" s="47"/>
      <c r="AR36" s="14"/>
    </row>
    <row r="37" spans="2:44" ht="12.75">
      <c r="B37" s="31"/>
      <c r="C37" s="31"/>
      <c r="D37" s="31"/>
      <c r="E37" s="43"/>
      <c r="G37" s="51"/>
      <c r="I37" s="45"/>
      <c r="J37" s="45"/>
      <c r="K37" s="45"/>
      <c r="L37" s="45"/>
      <c r="O37" s="14"/>
      <c r="P37" s="45"/>
      <c r="Q37" s="45"/>
      <c r="R37" s="45"/>
      <c r="S37" s="45"/>
      <c r="T37" s="45"/>
      <c r="U37" s="45"/>
      <c r="V37" s="46"/>
      <c r="W37" s="46"/>
      <c r="X37" s="14"/>
      <c r="Y37" s="45"/>
      <c r="Z37" s="45"/>
      <c r="AA37" s="45"/>
      <c r="AB37" s="45"/>
      <c r="AC37" s="45"/>
      <c r="AD37" s="45"/>
      <c r="AE37" s="46"/>
      <c r="AF37" s="47"/>
      <c r="AG37" s="14"/>
      <c r="AJ37" s="46"/>
      <c r="AK37" s="46"/>
      <c r="AL37" s="46"/>
      <c r="AM37" s="46"/>
      <c r="AN37" s="46"/>
      <c r="AO37" s="46"/>
      <c r="AP37" s="46"/>
      <c r="AQ37" s="47"/>
      <c r="AR37" s="14"/>
    </row>
    <row r="38" spans="2:44" ht="12.75">
      <c r="B38" s="41"/>
      <c r="C38" s="31"/>
      <c r="D38" s="31"/>
      <c r="E38" s="43"/>
      <c r="G38" s="51"/>
      <c r="I38" s="45"/>
      <c r="J38" s="45"/>
      <c r="K38" s="45"/>
      <c r="L38" s="45"/>
      <c r="O38" s="14"/>
      <c r="P38" s="45"/>
      <c r="Q38" s="12"/>
      <c r="R38" s="45"/>
      <c r="S38" s="45"/>
      <c r="T38" s="45"/>
      <c r="U38" s="45"/>
      <c r="V38" s="46"/>
      <c r="W38" s="46"/>
      <c r="X38" s="14"/>
      <c r="Y38" s="45"/>
      <c r="Z38" s="45"/>
      <c r="AA38" s="45"/>
      <c r="AB38" s="45"/>
      <c r="AC38" s="45"/>
      <c r="AD38" s="45"/>
      <c r="AE38" s="46"/>
      <c r="AF38" s="47"/>
      <c r="AG38" s="14"/>
      <c r="AJ38" s="46"/>
      <c r="AK38" s="46"/>
      <c r="AL38" s="46"/>
      <c r="AM38" s="46"/>
      <c r="AN38" s="46"/>
      <c r="AO38" s="46"/>
      <c r="AP38" s="46"/>
      <c r="AQ38" s="47"/>
      <c r="AR38" s="14"/>
    </row>
    <row r="39" ht="12.75">
      <c r="B39" s="2"/>
    </row>
    <row r="41" ht="12.75">
      <c r="D41" s="31"/>
    </row>
  </sheetData>
  <sheetProtection selectLockedCells="1" selectUnlockedCells="1"/>
  <autoFilter ref="B6:AG29"/>
  <printOptions/>
  <pageMargins left="0.2" right="0.2798611111111111" top="0.5298611111111111" bottom="0.4701388888888889" header="0.5118055555555555" footer="0.5"/>
  <pageSetup fitToHeight="1" fitToWidth="1" horizontalDpi="300" verticalDpi="300" orientation="landscape"/>
  <headerFooter alignWithMargins="0">
    <oddFooter>&amp;LMidland Motor Club&amp;C&amp;P&amp;R&amp;T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W9"/>
  <sheetViews>
    <sheetView workbookViewId="0" topLeftCell="AE1">
      <selection activeCell="AN7" sqref="AN7"/>
    </sheetView>
  </sheetViews>
  <sheetFormatPr defaultColWidth="9.140625" defaultRowHeight="12.75"/>
  <cols>
    <col min="1" max="46" width="8.57421875" style="1" customWidth="1"/>
    <col min="47" max="47" width="12.28125" style="1" customWidth="1"/>
    <col min="48" max="16384" width="8.57421875" style="1" customWidth="1"/>
  </cols>
  <sheetData>
    <row r="2" spans="1:49" ht="12.75">
      <c r="A2" s="48">
        <v>101</v>
      </c>
      <c r="B2" s="32" t="s">
        <v>65</v>
      </c>
      <c r="C2" s="32" t="s">
        <v>46</v>
      </c>
      <c r="D2" s="49" t="s">
        <v>66</v>
      </c>
      <c r="E2" s="3"/>
      <c r="F2" s="51">
        <f>47.12+5</f>
        <v>52.12</v>
      </c>
      <c r="G2" s="5" t="s">
        <v>50</v>
      </c>
      <c r="H2" s="45">
        <f>47.31</f>
        <v>47.31</v>
      </c>
      <c r="I2" s="45"/>
      <c r="J2" s="45">
        <v>45.87</v>
      </c>
      <c r="K2" s="45"/>
      <c r="L2" s="4"/>
      <c r="M2" s="4"/>
      <c r="N2" s="14">
        <f>SUM(F2+H2+J2+L2)</f>
        <v>145.3</v>
      </c>
      <c r="O2" s="45">
        <v>56.16</v>
      </c>
      <c r="P2" s="45"/>
      <c r="Q2" s="45">
        <f>54.84+5</f>
        <v>59.84</v>
      </c>
      <c r="R2" s="45" t="s">
        <v>44</v>
      </c>
      <c r="S2" s="45">
        <v>55.88</v>
      </c>
      <c r="T2" s="45"/>
      <c r="U2" s="46"/>
      <c r="V2" s="46"/>
      <c r="W2" s="14">
        <f>SUM(N2+O2+Q2+S2+U2)</f>
        <v>317.18</v>
      </c>
      <c r="X2" s="45">
        <v>55</v>
      </c>
      <c r="Y2" s="45"/>
      <c r="Z2" s="45">
        <f>52.69+5+5+5</f>
        <v>67.69</v>
      </c>
      <c r="AA2" s="45" t="s">
        <v>67</v>
      </c>
      <c r="AB2" s="45">
        <f>54.16+5</f>
        <v>59.16</v>
      </c>
      <c r="AC2" s="45" t="s">
        <v>50</v>
      </c>
      <c r="AD2" s="46"/>
      <c r="AE2" s="47"/>
      <c r="AF2" s="14">
        <f>SUM(W2+X2,Z2,AB2)</f>
        <v>499.03</v>
      </c>
      <c r="AG2" s="8"/>
      <c r="AH2" s="8"/>
      <c r="AI2" s="9">
        <v>67.81</v>
      </c>
      <c r="AJ2" s="9"/>
      <c r="AK2" s="9">
        <v>73.84</v>
      </c>
      <c r="AL2" s="9"/>
      <c r="AM2" s="9">
        <v>67.28</v>
      </c>
      <c r="AN2" s="46"/>
      <c r="AO2" s="46"/>
      <c r="AP2" s="47"/>
      <c r="AQ2" s="14">
        <f>SUM(AF2+AI2+AK2+AM2+AO2)</f>
        <v>707.9599999999999</v>
      </c>
      <c r="AR2" s="57">
        <v>4</v>
      </c>
      <c r="AT2" s="48">
        <v>101</v>
      </c>
      <c r="AU2" s="32" t="s">
        <v>65</v>
      </c>
      <c r="AV2" s="32" t="s">
        <v>46</v>
      </c>
      <c r="AW2" s="49" t="s">
        <v>66</v>
      </c>
    </row>
    <row r="3" spans="1:49" ht="12.75">
      <c r="A3" s="48">
        <v>102</v>
      </c>
      <c r="B3" s="32" t="s">
        <v>68</v>
      </c>
      <c r="C3" s="32" t="s">
        <v>46</v>
      </c>
      <c r="D3" s="49" t="s">
        <v>66</v>
      </c>
      <c r="E3" s="3"/>
      <c r="F3" s="51">
        <f>48.97+5</f>
        <v>53.97</v>
      </c>
      <c r="G3" s="5" t="s">
        <v>50</v>
      </c>
      <c r="H3" s="45">
        <v>47.13</v>
      </c>
      <c r="I3" s="45"/>
      <c r="J3" s="45">
        <f>47.19+5</f>
        <v>52.19</v>
      </c>
      <c r="K3" s="45" t="s">
        <v>50</v>
      </c>
      <c r="L3" s="4"/>
      <c r="M3" s="4"/>
      <c r="N3" s="14">
        <f aca="true" t="shared" si="0" ref="N3:N9">SUM(F3+H3+J3+L3)</f>
        <v>153.29</v>
      </c>
      <c r="O3" s="45">
        <v>55</v>
      </c>
      <c r="P3" s="45"/>
      <c r="Q3" s="45">
        <f>MIN(Q2,Q4:Q9)+20</f>
        <v>72.59</v>
      </c>
      <c r="R3" s="45"/>
      <c r="S3" s="45">
        <f>55.19+5</f>
        <v>60.19</v>
      </c>
      <c r="T3" s="45" t="s">
        <v>44</v>
      </c>
      <c r="U3" s="46"/>
      <c r="V3" s="46"/>
      <c r="W3" s="14">
        <f aca="true" t="shared" si="1" ref="W3:W9">SUM(N3+O3+Q3+S3+U3)</f>
        <v>341.07</v>
      </c>
      <c r="X3" s="45">
        <v>60.09</v>
      </c>
      <c r="Y3" s="45"/>
      <c r="Z3" s="45">
        <v>57</v>
      </c>
      <c r="AA3" s="45"/>
      <c r="AB3" s="45">
        <v>61.81</v>
      </c>
      <c r="AC3" s="45"/>
      <c r="AD3" s="46"/>
      <c r="AE3" s="47"/>
      <c r="AF3" s="14">
        <f aca="true" t="shared" si="2" ref="AF3:AF9">SUM(W3+X3,Z3,AB3)</f>
        <v>519.97</v>
      </c>
      <c r="AG3" s="8"/>
      <c r="AH3" s="8"/>
      <c r="AI3" s="46">
        <f>MIN(AI2,AI4:AI9)+20</f>
        <v>84.19</v>
      </c>
      <c r="AJ3" s="46"/>
      <c r="AK3" s="46">
        <f>MIN(AK4:AK9,AK2)+20</f>
        <v>79.25</v>
      </c>
      <c r="AL3" s="46"/>
      <c r="AM3" s="46">
        <v>63.95</v>
      </c>
      <c r="AN3" s="46"/>
      <c r="AO3" s="46"/>
      <c r="AP3" s="47"/>
      <c r="AQ3" s="14">
        <f aca="true" t="shared" si="3" ref="AQ3:AQ9">SUM(AF3+AI3+AK3+AM3+AO3)</f>
        <v>747.3600000000001</v>
      </c>
      <c r="AR3" s="57">
        <v>6</v>
      </c>
      <c r="AT3" s="48">
        <v>102</v>
      </c>
      <c r="AU3" s="32" t="s">
        <v>68</v>
      </c>
      <c r="AV3" s="32" t="s">
        <v>46</v>
      </c>
      <c r="AW3" s="49" t="s">
        <v>66</v>
      </c>
    </row>
    <row r="4" spans="1:49" ht="12.75">
      <c r="A4" s="48">
        <v>103</v>
      </c>
      <c r="B4" s="31" t="s">
        <v>69</v>
      </c>
      <c r="C4" s="31" t="s">
        <v>46</v>
      </c>
      <c r="D4" s="50" t="s">
        <v>66</v>
      </c>
      <c r="E4" s="3"/>
      <c r="F4" s="51">
        <f>42.91+5</f>
        <v>47.91</v>
      </c>
      <c r="G4" s="5" t="s">
        <v>50</v>
      </c>
      <c r="H4" s="45">
        <v>48.5</v>
      </c>
      <c r="I4" s="45"/>
      <c r="J4" s="45">
        <v>43.22</v>
      </c>
      <c r="K4" s="45"/>
      <c r="L4" s="4"/>
      <c r="M4" s="4"/>
      <c r="N4" s="14">
        <f t="shared" si="0"/>
        <v>139.63</v>
      </c>
      <c r="O4" s="45">
        <f>52.3</f>
        <v>52.3</v>
      </c>
      <c r="P4" s="45"/>
      <c r="Q4" s="45">
        <f>52.59</f>
        <v>52.59</v>
      </c>
      <c r="R4" s="45"/>
      <c r="S4" s="45">
        <f>54.28</f>
        <v>54.28</v>
      </c>
      <c r="T4" s="45"/>
      <c r="U4" s="46"/>
      <c r="V4" s="46"/>
      <c r="W4" s="14">
        <f t="shared" si="1"/>
        <v>298.8</v>
      </c>
      <c r="X4" s="45">
        <v>44.44</v>
      </c>
      <c r="Y4" s="45"/>
      <c r="Z4" s="45">
        <v>53.06</v>
      </c>
      <c r="AA4" s="45"/>
      <c r="AB4" s="45">
        <v>49</v>
      </c>
      <c r="AC4" s="45"/>
      <c r="AD4" s="46"/>
      <c r="AE4" s="47"/>
      <c r="AF4" s="14">
        <f t="shared" si="2"/>
        <v>445.3</v>
      </c>
      <c r="AG4" s="8"/>
      <c r="AH4" s="8"/>
      <c r="AI4" s="46">
        <v>67.44</v>
      </c>
      <c r="AJ4" s="46"/>
      <c r="AK4" s="46">
        <v>60.22</v>
      </c>
      <c r="AL4" s="46"/>
      <c r="AM4" s="46">
        <v>63.41</v>
      </c>
      <c r="AN4" s="46"/>
      <c r="AO4" s="46"/>
      <c r="AP4" s="47"/>
      <c r="AQ4" s="14">
        <f t="shared" si="3"/>
        <v>636.37</v>
      </c>
      <c r="AR4" s="57">
        <v>1</v>
      </c>
      <c r="AS4" s="10" t="s">
        <v>70</v>
      </c>
      <c r="AT4" s="48">
        <v>103</v>
      </c>
      <c r="AU4" s="31" t="s">
        <v>69</v>
      </c>
      <c r="AV4" s="31" t="s">
        <v>46</v>
      </c>
      <c r="AW4" s="50" t="s">
        <v>66</v>
      </c>
    </row>
    <row r="5" spans="1:49" ht="12.75">
      <c r="A5" s="48">
        <v>104</v>
      </c>
      <c r="B5" s="32" t="s">
        <v>71</v>
      </c>
      <c r="C5" s="32" t="s">
        <v>46</v>
      </c>
      <c r="D5" s="49" t="s">
        <v>66</v>
      </c>
      <c r="E5" s="3"/>
      <c r="F5" s="51">
        <v>47.88</v>
      </c>
      <c r="G5" s="5"/>
      <c r="H5" s="45">
        <v>48.97</v>
      </c>
      <c r="I5" s="45"/>
      <c r="J5" s="45">
        <v>47.56</v>
      </c>
      <c r="K5" s="45"/>
      <c r="L5" s="4"/>
      <c r="M5" s="4"/>
      <c r="N5" s="14">
        <f t="shared" si="0"/>
        <v>144.41</v>
      </c>
      <c r="O5" s="45">
        <f>66.44</f>
        <v>66.44</v>
      </c>
      <c r="P5" s="45"/>
      <c r="Q5" s="45">
        <f>59.1</f>
        <v>59.1</v>
      </c>
      <c r="R5" s="45"/>
      <c r="S5" s="45">
        <f>57.94+5</f>
        <v>62.94</v>
      </c>
      <c r="T5" s="45" t="s">
        <v>44</v>
      </c>
      <c r="U5" s="46"/>
      <c r="V5" s="46"/>
      <c r="W5" s="14">
        <f t="shared" si="1"/>
        <v>332.89</v>
      </c>
      <c r="X5" s="45">
        <v>56.22</v>
      </c>
      <c r="Y5" s="45"/>
      <c r="Z5" s="45">
        <v>56.6</v>
      </c>
      <c r="AA5" s="45"/>
      <c r="AB5" s="45">
        <v>57.19</v>
      </c>
      <c r="AC5" s="45"/>
      <c r="AD5" s="46"/>
      <c r="AE5" s="47"/>
      <c r="AF5" s="14">
        <f t="shared" si="2"/>
        <v>502.90000000000003</v>
      </c>
      <c r="AG5" s="8"/>
      <c r="AH5" s="8"/>
      <c r="AI5" s="46">
        <v>67.81</v>
      </c>
      <c r="AJ5" s="46"/>
      <c r="AK5" s="46">
        <v>65.31</v>
      </c>
      <c r="AL5" s="46"/>
      <c r="AM5" s="46">
        <v>67.78</v>
      </c>
      <c r="AN5" s="46"/>
      <c r="AO5" s="46"/>
      <c r="AP5" s="47"/>
      <c r="AQ5" s="14">
        <f t="shared" si="3"/>
        <v>703.8</v>
      </c>
      <c r="AR5" s="57">
        <v>3</v>
      </c>
      <c r="AS5" s="10" t="s">
        <v>72</v>
      </c>
      <c r="AT5" s="48">
        <v>104</v>
      </c>
      <c r="AU5" s="32" t="s">
        <v>71</v>
      </c>
      <c r="AV5" s="32" t="s">
        <v>46</v>
      </c>
      <c r="AW5" s="49" t="s">
        <v>66</v>
      </c>
    </row>
    <row r="6" spans="1:49" ht="12.75">
      <c r="A6" s="31">
        <v>105</v>
      </c>
      <c r="B6" s="31" t="s">
        <v>73</v>
      </c>
      <c r="C6" s="31" t="s">
        <v>46</v>
      </c>
      <c r="D6" s="50" t="s">
        <v>66</v>
      </c>
      <c r="E6" s="3"/>
      <c r="F6" s="51">
        <v>53.31</v>
      </c>
      <c r="G6" s="5"/>
      <c r="H6" s="45">
        <f>43.85+5+5</f>
        <v>53.85</v>
      </c>
      <c r="I6" s="45" t="s">
        <v>74</v>
      </c>
      <c r="J6" s="45">
        <v>49.31</v>
      </c>
      <c r="K6" s="45"/>
      <c r="L6" s="4"/>
      <c r="M6" s="4"/>
      <c r="N6" s="14">
        <f t="shared" si="0"/>
        <v>156.47</v>
      </c>
      <c r="O6" s="45">
        <v>65.94</v>
      </c>
      <c r="P6" s="45"/>
      <c r="Q6" s="45">
        <v>67.75</v>
      </c>
      <c r="R6" s="45"/>
      <c r="S6" s="45">
        <f>63.93+5</f>
        <v>68.93</v>
      </c>
      <c r="T6" s="45" t="s">
        <v>44</v>
      </c>
      <c r="U6" s="46"/>
      <c r="V6" s="46"/>
      <c r="W6" s="14">
        <f t="shared" si="1"/>
        <v>359.09</v>
      </c>
      <c r="X6" s="45">
        <f>MIN(X2:X5,X7:X9)+20</f>
        <v>64.44</v>
      </c>
      <c r="Y6" s="45"/>
      <c r="Z6" s="45">
        <v>59.65</v>
      </c>
      <c r="AA6" s="45"/>
      <c r="AB6" s="45">
        <f>53.12+5+5</f>
        <v>63.12</v>
      </c>
      <c r="AC6" s="45" t="s">
        <v>62</v>
      </c>
      <c r="AD6" s="46"/>
      <c r="AE6" s="47"/>
      <c r="AF6" s="14">
        <f t="shared" si="2"/>
        <v>546.3</v>
      </c>
      <c r="AG6" s="8"/>
      <c r="AH6" s="8"/>
      <c r="AI6" s="46">
        <v>79.28</v>
      </c>
      <c r="AJ6" s="46"/>
      <c r="AK6" s="46">
        <v>73.34</v>
      </c>
      <c r="AL6" s="46"/>
      <c r="AM6" s="46">
        <v>76.44</v>
      </c>
      <c r="AN6" s="46"/>
      <c r="AO6" s="46"/>
      <c r="AP6" s="47"/>
      <c r="AQ6" s="14">
        <f t="shared" si="3"/>
        <v>775.3599999999999</v>
      </c>
      <c r="AR6" s="57">
        <v>7</v>
      </c>
      <c r="AT6" s="31">
        <v>105</v>
      </c>
      <c r="AU6" s="31" t="s">
        <v>73</v>
      </c>
      <c r="AV6" s="31" t="s">
        <v>46</v>
      </c>
      <c r="AW6" s="50" t="s">
        <v>66</v>
      </c>
    </row>
    <row r="7" spans="1:49" ht="12.75">
      <c r="A7" s="31">
        <v>106</v>
      </c>
      <c r="B7" s="31" t="s">
        <v>75</v>
      </c>
      <c r="C7" s="31" t="s">
        <v>46</v>
      </c>
      <c r="D7" s="43" t="s">
        <v>66</v>
      </c>
      <c r="E7" s="3"/>
      <c r="F7" s="51">
        <f>MIN(F2:F6,F8:F9)+20</f>
        <v>66.1</v>
      </c>
      <c r="G7" s="10" t="s">
        <v>51</v>
      </c>
      <c r="H7" s="45">
        <f>47.1+5+5+5</f>
        <v>62.1</v>
      </c>
      <c r="I7" s="45" t="s">
        <v>67</v>
      </c>
      <c r="J7" s="45">
        <f>46.22+5</f>
        <v>51.22</v>
      </c>
      <c r="K7" s="45" t="s">
        <v>50</v>
      </c>
      <c r="L7" s="4"/>
      <c r="M7" s="4"/>
      <c r="N7" s="14">
        <f t="shared" si="0"/>
        <v>179.42</v>
      </c>
      <c r="O7" s="45">
        <f>57.6+5</f>
        <v>62.6</v>
      </c>
      <c r="P7" s="45" t="s">
        <v>44</v>
      </c>
      <c r="Q7" s="45">
        <f>60.47+5+5+5</f>
        <v>75.47</v>
      </c>
      <c r="R7" s="45" t="s">
        <v>67</v>
      </c>
      <c r="S7" s="45">
        <f>64.93+5</f>
        <v>69.93</v>
      </c>
      <c r="T7" s="45" t="s">
        <v>44</v>
      </c>
      <c r="U7" s="46"/>
      <c r="V7" s="46"/>
      <c r="W7" s="14">
        <f t="shared" si="1"/>
        <v>387.42</v>
      </c>
      <c r="X7" s="46">
        <f>59.19+5</f>
        <v>64.19</v>
      </c>
      <c r="Y7" s="46" t="s">
        <v>50</v>
      </c>
      <c r="Z7" s="46">
        <f>55.78+5+5</f>
        <v>65.78</v>
      </c>
      <c r="AA7" s="46" t="s">
        <v>74</v>
      </c>
      <c r="AB7" s="46">
        <v>60.97</v>
      </c>
      <c r="AC7" s="46"/>
      <c r="AD7" s="46"/>
      <c r="AE7" s="47"/>
      <c r="AF7" s="14">
        <f t="shared" si="2"/>
        <v>578.36</v>
      </c>
      <c r="AG7" s="8"/>
      <c r="AH7" s="8"/>
      <c r="AI7" s="46">
        <f>59.19+5</f>
        <v>64.19</v>
      </c>
      <c r="AJ7" s="46" t="s">
        <v>50</v>
      </c>
      <c r="AK7" s="46">
        <f>55.78+5+5</f>
        <v>65.78</v>
      </c>
      <c r="AL7" s="46" t="s">
        <v>74</v>
      </c>
      <c r="AM7" s="46">
        <v>60.97</v>
      </c>
      <c r="AN7" s="46"/>
      <c r="AO7" s="46"/>
      <c r="AP7" s="47"/>
      <c r="AQ7" s="14">
        <f t="shared" si="3"/>
        <v>769.3</v>
      </c>
      <c r="AR7" s="57">
        <v>8</v>
      </c>
      <c r="AT7" s="31">
        <v>106</v>
      </c>
      <c r="AU7" s="31" t="s">
        <v>75</v>
      </c>
      <c r="AV7" s="31" t="s">
        <v>46</v>
      </c>
      <c r="AW7" s="43" t="s">
        <v>66</v>
      </c>
    </row>
    <row r="8" spans="1:49" ht="12.75">
      <c r="A8" s="31">
        <v>107</v>
      </c>
      <c r="B8" s="31" t="s">
        <v>76</v>
      </c>
      <c r="C8" s="31" t="s">
        <v>46</v>
      </c>
      <c r="D8" s="43" t="s">
        <v>66</v>
      </c>
      <c r="E8" s="3"/>
      <c r="F8" s="51">
        <v>46.1</v>
      </c>
      <c r="G8" s="5"/>
      <c r="H8" s="45">
        <f>44.84+5+5</f>
        <v>54.84</v>
      </c>
      <c r="I8" s="45" t="s">
        <v>47</v>
      </c>
      <c r="J8" s="45">
        <v>45</v>
      </c>
      <c r="K8" s="45"/>
      <c r="L8" s="4"/>
      <c r="M8" s="4"/>
      <c r="N8" s="14">
        <f t="shared" si="0"/>
        <v>145.94</v>
      </c>
      <c r="O8" s="45">
        <f>55.16+5+5</f>
        <v>65.16</v>
      </c>
      <c r="P8" s="45" t="s">
        <v>74</v>
      </c>
      <c r="Q8" s="45">
        <f>MIN(Q4:Q7,Q2)+20</f>
        <v>72.59</v>
      </c>
      <c r="R8" s="45"/>
      <c r="S8" s="45">
        <f>55.16</f>
        <v>55.16</v>
      </c>
      <c r="T8" s="45"/>
      <c r="U8" s="46"/>
      <c r="V8" s="46"/>
      <c r="W8" s="14">
        <f t="shared" si="1"/>
        <v>338.85</v>
      </c>
      <c r="X8" s="45">
        <v>55.25</v>
      </c>
      <c r="Y8" s="45"/>
      <c r="Z8" s="45">
        <f>60.84+5</f>
        <v>65.84</v>
      </c>
      <c r="AA8" s="45" t="s">
        <v>50</v>
      </c>
      <c r="AB8" s="45">
        <f>61.65+5+5</f>
        <v>71.65</v>
      </c>
      <c r="AC8" s="45" t="s">
        <v>62</v>
      </c>
      <c r="AD8" s="46"/>
      <c r="AE8" s="47"/>
      <c r="AF8" s="14">
        <f t="shared" si="2"/>
        <v>531.59</v>
      </c>
      <c r="AG8" s="8"/>
      <c r="AH8" s="8"/>
      <c r="AI8" s="46">
        <v>71.35</v>
      </c>
      <c r="AJ8" s="46"/>
      <c r="AK8" s="46">
        <v>59.25</v>
      </c>
      <c r="AL8" s="46"/>
      <c r="AM8" s="46">
        <v>57.62</v>
      </c>
      <c r="AN8" s="46"/>
      <c r="AO8" s="46"/>
      <c r="AP8" s="47"/>
      <c r="AQ8" s="14">
        <f t="shared" si="3"/>
        <v>719.8100000000001</v>
      </c>
      <c r="AR8" s="57">
        <v>5</v>
      </c>
      <c r="AS8" s="58" t="s">
        <v>77</v>
      </c>
      <c r="AT8" s="31">
        <v>107</v>
      </c>
      <c r="AU8" s="31" t="s">
        <v>76</v>
      </c>
      <c r="AV8" s="31" t="s">
        <v>46</v>
      </c>
      <c r="AW8" s="43" t="s">
        <v>66</v>
      </c>
    </row>
    <row r="9" spans="1:49" ht="12.75">
      <c r="A9" s="41">
        <v>108</v>
      </c>
      <c r="B9" s="31" t="s">
        <v>78</v>
      </c>
      <c r="C9" s="31" t="s">
        <v>46</v>
      </c>
      <c r="D9" s="43" t="s">
        <v>66</v>
      </c>
      <c r="E9" s="3"/>
      <c r="F9" s="51">
        <v>48.93</v>
      </c>
      <c r="G9" s="5"/>
      <c r="H9" s="45">
        <v>47.19</v>
      </c>
      <c r="I9" s="45"/>
      <c r="J9" s="45">
        <f>45.35</f>
        <v>45.35</v>
      </c>
      <c r="K9" s="45"/>
      <c r="L9" s="4"/>
      <c r="M9" s="4"/>
      <c r="N9" s="14">
        <f t="shared" si="0"/>
        <v>141.47</v>
      </c>
      <c r="O9" s="45">
        <v>63.38</v>
      </c>
      <c r="P9" s="12"/>
      <c r="Q9" s="45">
        <f>64.43</f>
        <v>64.43</v>
      </c>
      <c r="R9" s="45"/>
      <c r="S9" s="45">
        <f>57.87</f>
        <v>57.87</v>
      </c>
      <c r="T9" s="45"/>
      <c r="U9" s="46"/>
      <c r="V9" s="46"/>
      <c r="W9" s="14">
        <f t="shared" si="1"/>
        <v>327.15</v>
      </c>
      <c r="X9" s="45">
        <f>60+5</f>
        <v>65</v>
      </c>
      <c r="Y9" s="45" t="s">
        <v>50</v>
      </c>
      <c r="Z9" s="45">
        <v>55.94</v>
      </c>
      <c r="AA9" s="45"/>
      <c r="AB9" s="45">
        <f>54.59</f>
        <v>54.59</v>
      </c>
      <c r="AC9" s="45"/>
      <c r="AD9" s="46"/>
      <c r="AE9" s="47"/>
      <c r="AF9" s="14">
        <f t="shared" si="2"/>
        <v>502.67999999999995</v>
      </c>
      <c r="AG9" s="8"/>
      <c r="AH9" s="8"/>
      <c r="AI9" s="46">
        <v>66.47</v>
      </c>
      <c r="AJ9" s="46"/>
      <c r="AK9" s="46">
        <v>62.28</v>
      </c>
      <c r="AL9" s="46"/>
      <c r="AM9" s="46">
        <v>63.66</v>
      </c>
      <c r="AN9" s="46"/>
      <c r="AO9" s="46"/>
      <c r="AP9" s="47"/>
      <c r="AQ9" s="14">
        <f t="shared" si="3"/>
        <v>695.0899999999999</v>
      </c>
      <c r="AR9" s="57">
        <v>2</v>
      </c>
      <c r="AS9" s="10" t="s">
        <v>79</v>
      </c>
      <c r="AT9" s="41">
        <v>108</v>
      </c>
      <c r="AU9" s="31" t="s">
        <v>78</v>
      </c>
      <c r="AV9" s="31" t="s">
        <v>46</v>
      </c>
      <c r="AW9" s="43" t="s">
        <v>66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